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stafevakv\Desktop\Проект КПКР\"/>
    </mc:Choice>
  </mc:AlternateContent>
  <bookViews>
    <workbookView xWindow="28680" yWindow="-120" windowWidth="29040" windowHeight="15840" activeTab="1"/>
  </bookViews>
  <sheets>
    <sheet name="Приложение №1" sheetId="1" r:id="rId1"/>
    <sheet name="Приложение №2" sheetId="10" r:id="rId2"/>
    <sheet name="Лист1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'Приложение №1'!$A$12:$AS$753</definedName>
    <definedName name="_xlnm._FilterDatabase" localSheetId="1" hidden="1">'Приложение №2'!$A$12:$BR$752</definedName>
    <definedName name="_xlnm.Print_Titles" localSheetId="0">'Приложение №1'!$9:$12</definedName>
    <definedName name="_xlnm.Print_Titles" localSheetId="1">'Приложение №2'!$9:$12</definedName>
    <definedName name="_xlnm.Print_Area" localSheetId="0">'Приложение №1'!$A$1:$W$753</definedName>
    <definedName name="_xlnm.Print_Area" localSheetId="1">'Приложение №2'!$A$1:$T$753</definedName>
    <definedName name="_xlnm.Print_Are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0" i="1" l="1"/>
  <c r="T450" i="1"/>
  <c r="R450" i="1"/>
  <c r="P319" i="1" l="1"/>
  <c r="P318" i="1"/>
  <c r="P245" i="1"/>
  <c r="P244" i="1"/>
  <c r="P242" i="1"/>
  <c r="Q481" i="1" l="1"/>
  <c r="P297" i="1" l="1"/>
  <c r="F17" i="10" l="1"/>
  <c r="F14" i="10" s="1"/>
  <c r="G17" i="10"/>
  <c r="G14" i="10" s="1"/>
  <c r="H17" i="10"/>
  <c r="H14" i="10" s="1"/>
  <c r="I17" i="10"/>
  <c r="I14" i="10" s="1"/>
  <c r="K17" i="10"/>
  <c r="K14" i="10" s="1"/>
  <c r="L17" i="10"/>
  <c r="L14" i="10" s="1"/>
  <c r="M17" i="10"/>
  <c r="M14" i="10" s="1"/>
  <c r="N17" i="10"/>
  <c r="N14" i="10" s="1"/>
  <c r="O17" i="10"/>
  <c r="O14" i="10" s="1"/>
  <c r="T17" i="10"/>
  <c r="T14" i="10" s="1"/>
  <c r="Q17" i="1"/>
  <c r="Q14" i="1" s="1"/>
  <c r="P717" i="1" l="1"/>
  <c r="P415" i="1"/>
  <c r="AS338" i="1" l="1"/>
  <c r="AR338" i="1"/>
  <c r="Z338" i="1"/>
  <c r="X338" i="1"/>
  <c r="U338" i="10"/>
  <c r="E338" i="10"/>
  <c r="AT338" i="1" l="1"/>
  <c r="T338" i="1"/>
  <c r="N338" i="1" s="1"/>
  <c r="V338" i="1" l="1"/>
  <c r="AP338" i="1"/>
  <c r="U338" i="1"/>
  <c r="T593" i="1" l="1"/>
  <c r="S591" i="10"/>
  <c r="S65" i="10"/>
  <c r="S61" i="10"/>
  <c r="S468" i="10" l="1"/>
  <c r="S270" i="10"/>
  <c r="S627" i="10"/>
  <c r="S614" i="10"/>
  <c r="S604" i="10"/>
  <c r="S293" i="10"/>
  <c r="S74" i="10"/>
  <c r="S17" i="10" s="1"/>
  <c r="S14" i="10" s="1"/>
  <c r="S575" i="10"/>
  <c r="S563" i="10"/>
  <c r="S753" i="10"/>
  <c r="P325" i="1" l="1"/>
  <c r="AS237" i="1"/>
  <c r="AR237" i="1"/>
  <c r="AQ237" i="1"/>
  <c r="Z237" i="1"/>
  <c r="X237" i="1"/>
  <c r="P237" i="1"/>
  <c r="U237" i="10"/>
  <c r="E237" i="10"/>
  <c r="AR593" i="1" l="1"/>
  <c r="E593" i="10"/>
  <c r="AR739" i="1"/>
  <c r="R739" i="1" s="1"/>
  <c r="E739" i="10"/>
  <c r="P739" i="1" l="1"/>
  <c r="N739" i="1" s="1"/>
  <c r="AP739" i="1" s="1"/>
  <c r="Q78" i="10" l="1"/>
  <c r="Q17" i="10" s="1"/>
  <c r="Q14" i="10" s="1"/>
  <c r="R203" i="1" l="1"/>
  <c r="K206" i="1" l="1"/>
  <c r="L206" i="1"/>
  <c r="M206" i="1"/>
  <c r="J206" i="1"/>
  <c r="K14" i="1"/>
  <c r="L14" i="1"/>
  <c r="M14" i="1"/>
  <c r="J14" i="1"/>
  <c r="AS424" i="1" l="1"/>
  <c r="AQ424" i="1"/>
  <c r="P122" i="1" l="1"/>
  <c r="P60" i="1"/>
  <c r="AP6" i="1"/>
  <c r="P171" i="1" l="1"/>
  <c r="P118" i="1" l="1"/>
  <c r="AP9" i="1" l="1"/>
  <c r="P164" i="1" l="1"/>
  <c r="E152" i="10" l="1"/>
  <c r="P301" i="1" l="1"/>
  <c r="P42" i="1"/>
  <c r="N15" i="1" l="1"/>
  <c r="AS378" i="1"/>
  <c r="AQ378" i="1"/>
  <c r="T55" i="1"/>
  <c r="P55" i="1"/>
  <c r="P166" i="1"/>
  <c r="P36" i="1"/>
  <c r="AQ649" i="1" l="1"/>
  <c r="AQ442" i="1"/>
  <c r="AV171" i="1"/>
  <c r="AU171" i="1"/>
  <c r="AS171" i="1"/>
  <c r="AR171" i="1"/>
  <c r="Z171" i="1"/>
  <c r="X171" i="1"/>
  <c r="AY171" i="1"/>
  <c r="U171" i="10"/>
  <c r="E171" i="10"/>
  <c r="AY111" i="1"/>
  <c r="AV111" i="1"/>
  <c r="AU111" i="1"/>
  <c r="AS111" i="1"/>
  <c r="AR111" i="1"/>
  <c r="AQ111" i="1"/>
  <c r="Z111" i="1"/>
  <c r="U111" i="10"/>
  <c r="E111" i="10"/>
  <c r="R111" i="1" l="1"/>
  <c r="AQ322" i="1" s="1"/>
  <c r="AW171" i="1"/>
  <c r="R86" i="1"/>
  <c r="AQ292" i="1" s="1"/>
  <c r="AQ268" i="1"/>
  <c r="AQ477" i="1"/>
  <c r="AR477" i="1"/>
  <c r="Z477" i="1"/>
  <c r="X477" i="1"/>
  <c r="U477" i="10"/>
  <c r="E477" i="10"/>
  <c r="AQ387" i="1"/>
  <c r="AS386" i="1"/>
  <c r="S386" i="1" s="1"/>
  <c r="AQ386" i="1"/>
  <c r="U354" i="10"/>
  <c r="E354" i="10"/>
  <c r="AS354" i="1"/>
  <c r="AT354" i="1" s="1"/>
  <c r="AR354" i="1"/>
  <c r="Z354" i="1"/>
  <c r="X354" i="1"/>
  <c r="AQ348" i="1"/>
  <c r="AR348" i="1"/>
  <c r="Z348" i="1"/>
  <c r="X348" i="1"/>
  <c r="U348" i="10"/>
  <c r="E348" i="10"/>
  <c r="AQ349" i="1"/>
  <c r="AS350" i="1"/>
  <c r="AR350" i="1"/>
  <c r="AQ350" i="1"/>
  <c r="Z350" i="1"/>
  <c r="X350" i="1"/>
  <c r="AR349" i="1"/>
  <c r="Z349" i="1"/>
  <c r="X349" i="1"/>
  <c r="U350" i="10"/>
  <c r="E350" i="10"/>
  <c r="U349" i="10"/>
  <c r="E349" i="10"/>
  <c r="AQ341" i="1"/>
  <c r="AW111" i="1" l="1"/>
  <c r="R109" i="1" l="1"/>
  <c r="AQ305" i="1"/>
  <c r="AR305" i="1"/>
  <c r="Z305" i="1"/>
  <c r="X305" i="1"/>
  <c r="U305" i="10"/>
  <c r="E305" i="10"/>
  <c r="R305" i="1" l="1"/>
  <c r="AQ287" i="1" l="1"/>
  <c r="AR287" i="1"/>
  <c r="Z287" i="1"/>
  <c r="X287" i="1"/>
  <c r="U287" i="10"/>
  <c r="E287" i="10"/>
  <c r="AQ278" i="1"/>
  <c r="AR278" i="1"/>
  <c r="Z278" i="1"/>
  <c r="X278" i="1"/>
  <c r="U278" i="10"/>
  <c r="E278" i="10"/>
  <c r="AQ276" i="1"/>
  <c r="AR276" i="1"/>
  <c r="Z276" i="1"/>
  <c r="X276" i="1"/>
  <c r="R276" i="1"/>
  <c r="U276" i="10"/>
  <c r="E276" i="10"/>
  <c r="E273" i="10"/>
  <c r="AS273" i="1"/>
  <c r="AR273" i="1"/>
  <c r="R273" i="1" s="1"/>
  <c r="Z273" i="1"/>
  <c r="X273" i="1"/>
  <c r="U273" i="10"/>
  <c r="AR242" i="1"/>
  <c r="R242" i="1" s="1"/>
  <c r="Z242" i="1"/>
  <c r="X242" i="1"/>
  <c r="U242" i="10"/>
  <c r="E242" i="10"/>
  <c r="AR260" i="1"/>
  <c r="Z260" i="1"/>
  <c r="X260" i="1"/>
  <c r="U260" i="10"/>
  <c r="E260" i="10"/>
  <c r="AR232" i="1"/>
  <c r="Z232" i="1"/>
  <c r="X232" i="1"/>
  <c r="U232" i="10"/>
  <c r="E232" i="10"/>
  <c r="R278" i="1" l="1"/>
  <c r="R287" i="1"/>
  <c r="J69" i="10"/>
  <c r="J17" i="10" s="1"/>
  <c r="J14" i="10" s="1"/>
  <c r="P534" i="1" l="1"/>
  <c r="AQ297" i="1"/>
  <c r="R297" i="1" s="1"/>
  <c r="AW297" i="1" s="1"/>
  <c r="AQ296" i="1"/>
  <c r="R296" i="1" s="1"/>
  <c r="AW296" i="1" s="1"/>
  <c r="AU244" i="1"/>
  <c r="AU745" i="1"/>
  <c r="AV745" i="1"/>
  <c r="AY745" i="1"/>
  <c r="AU746" i="1"/>
  <c r="AV746" i="1"/>
  <c r="AY746" i="1"/>
  <c r="AU747" i="1"/>
  <c r="AV747" i="1"/>
  <c r="AY747" i="1"/>
  <c r="AU748" i="1"/>
  <c r="AV748" i="1"/>
  <c r="AY748" i="1"/>
  <c r="AU749" i="1"/>
  <c r="AV749" i="1"/>
  <c r="AY749" i="1"/>
  <c r="AU750" i="1"/>
  <c r="AV750" i="1"/>
  <c r="AY750" i="1"/>
  <c r="AV751" i="1"/>
  <c r="AY751" i="1"/>
  <c r="AU752" i="1"/>
  <c r="AV752" i="1"/>
  <c r="AV753" i="1"/>
  <c r="AU729" i="1"/>
  <c r="AV729" i="1"/>
  <c r="AU730" i="1"/>
  <c r="AV730" i="1"/>
  <c r="AU731" i="1"/>
  <c r="AV731" i="1"/>
  <c r="AU732" i="1"/>
  <c r="AV732" i="1"/>
  <c r="AY732" i="1"/>
  <c r="AU733" i="1"/>
  <c r="AV733" i="1"/>
  <c r="AY733" i="1"/>
  <c r="AU734" i="1"/>
  <c r="AV734" i="1"/>
  <c r="AV735" i="1"/>
  <c r="AY735" i="1"/>
  <c r="AU736" i="1"/>
  <c r="AV736" i="1"/>
  <c r="AU737" i="1"/>
  <c r="AV737" i="1"/>
  <c r="AU738" i="1"/>
  <c r="AV738" i="1"/>
  <c r="AU740" i="1"/>
  <c r="AV740" i="1"/>
  <c r="AY740" i="1"/>
  <c r="AU741" i="1"/>
  <c r="AV741" i="1"/>
  <c r="AW741" i="1"/>
  <c r="AY741" i="1"/>
  <c r="AU742" i="1"/>
  <c r="AV742" i="1"/>
  <c r="AW742" i="1"/>
  <c r="AY742" i="1"/>
  <c r="AU743" i="1"/>
  <c r="AV743" i="1"/>
  <c r="AY743" i="1"/>
  <c r="AU744" i="1"/>
  <c r="AV744" i="1"/>
  <c r="AY744" i="1"/>
  <c r="AU711" i="1"/>
  <c r="AV711" i="1"/>
  <c r="AU712" i="1"/>
  <c r="AV712" i="1"/>
  <c r="AY712" i="1"/>
  <c r="AU713" i="1"/>
  <c r="AV713" i="1"/>
  <c r="AU714" i="1"/>
  <c r="AV714" i="1"/>
  <c r="AU715" i="1"/>
  <c r="AV715" i="1"/>
  <c r="AU716" i="1"/>
  <c r="AV716" i="1"/>
  <c r="AX716" i="1"/>
  <c r="AU717" i="1"/>
  <c r="AV717" i="1"/>
  <c r="AU718" i="1"/>
  <c r="AV718" i="1"/>
  <c r="AY718" i="1"/>
  <c r="AU719" i="1"/>
  <c r="AV719" i="1"/>
  <c r="AY719" i="1"/>
  <c r="AU720" i="1"/>
  <c r="AV720" i="1"/>
  <c r="AY720" i="1"/>
  <c r="AU721" i="1"/>
  <c r="AV721" i="1"/>
  <c r="AY721" i="1"/>
  <c r="AU722" i="1"/>
  <c r="AV722" i="1"/>
  <c r="AY722" i="1"/>
  <c r="AU723" i="1"/>
  <c r="AV723" i="1"/>
  <c r="AY723" i="1"/>
  <c r="AU724" i="1"/>
  <c r="AV724" i="1"/>
  <c r="AU725" i="1"/>
  <c r="AV725" i="1"/>
  <c r="AU726" i="1"/>
  <c r="AV726" i="1"/>
  <c r="AU727" i="1"/>
  <c r="AV727" i="1"/>
  <c r="AU728" i="1"/>
  <c r="AV728" i="1"/>
  <c r="AU699" i="1"/>
  <c r="AV699" i="1"/>
  <c r="AU700" i="1"/>
  <c r="AV700" i="1"/>
  <c r="AU701" i="1"/>
  <c r="AV701" i="1"/>
  <c r="AU702" i="1"/>
  <c r="AV702" i="1"/>
  <c r="AU703" i="1"/>
  <c r="AV703" i="1"/>
  <c r="AY703" i="1"/>
  <c r="AU704" i="1"/>
  <c r="AV704" i="1"/>
  <c r="AY704" i="1"/>
  <c r="AU705" i="1"/>
  <c r="AV705" i="1"/>
  <c r="AV706" i="1"/>
  <c r="AU707" i="1"/>
  <c r="AV707" i="1"/>
  <c r="AU708" i="1"/>
  <c r="AV708" i="1"/>
  <c r="AU709" i="1"/>
  <c r="AV709" i="1"/>
  <c r="AU710" i="1"/>
  <c r="AV710" i="1"/>
  <c r="AU680" i="1"/>
  <c r="AV680" i="1"/>
  <c r="AU681" i="1"/>
  <c r="AV681" i="1"/>
  <c r="AU682" i="1"/>
  <c r="AV682" i="1"/>
  <c r="AU683" i="1"/>
  <c r="AV683" i="1"/>
  <c r="AU684" i="1"/>
  <c r="AV684" i="1"/>
  <c r="AU685" i="1"/>
  <c r="AV685" i="1"/>
  <c r="AU686" i="1"/>
  <c r="AV686" i="1"/>
  <c r="AU687" i="1"/>
  <c r="AV687" i="1"/>
  <c r="AU688" i="1"/>
  <c r="AV688" i="1"/>
  <c r="AU689" i="1"/>
  <c r="AV689" i="1"/>
  <c r="AU690" i="1"/>
  <c r="AV690" i="1"/>
  <c r="AU691" i="1"/>
  <c r="AV691" i="1"/>
  <c r="AU692" i="1"/>
  <c r="AV692" i="1"/>
  <c r="AU693" i="1"/>
  <c r="AV693" i="1"/>
  <c r="AU694" i="1"/>
  <c r="AV694" i="1"/>
  <c r="AU695" i="1"/>
  <c r="AV695" i="1"/>
  <c r="AY695" i="1"/>
  <c r="AV696" i="1"/>
  <c r="AY696" i="1"/>
  <c r="AV697" i="1"/>
  <c r="AY697" i="1"/>
  <c r="AU698" i="1"/>
  <c r="AV698" i="1"/>
  <c r="AY698" i="1"/>
  <c r="AU665" i="1"/>
  <c r="AV665" i="1"/>
  <c r="AY665" i="1"/>
  <c r="AU666" i="1"/>
  <c r="AV666" i="1"/>
  <c r="AY666" i="1"/>
  <c r="AV667" i="1"/>
  <c r="AU668" i="1"/>
  <c r="AV668" i="1"/>
  <c r="AY668" i="1"/>
  <c r="AU669" i="1"/>
  <c r="AV669" i="1"/>
  <c r="AY669" i="1"/>
  <c r="AU670" i="1"/>
  <c r="AV670" i="1"/>
  <c r="AY670" i="1"/>
  <c r="AU671" i="1"/>
  <c r="AV671" i="1"/>
  <c r="AY671" i="1"/>
  <c r="AU672" i="1"/>
  <c r="AV672" i="1"/>
  <c r="AU673" i="1"/>
  <c r="AV673" i="1"/>
  <c r="AY673" i="1"/>
  <c r="AU674" i="1"/>
  <c r="AV674" i="1"/>
  <c r="AY674" i="1"/>
  <c r="AU675" i="1"/>
  <c r="AV675" i="1"/>
  <c r="AY675" i="1"/>
  <c r="AV676" i="1"/>
  <c r="AY676" i="1"/>
  <c r="AU677" i="1"/>
  <c r="AV677" i="1"/>
  <c r="AU678" i="1"/>
  <c r="AV678" i="1"/>
  <c r="AU679" i="1"/>
  <c r="AV679" i="1"/>
  <c r="AU644" i="1"/>
  <c r="AV644" i="1"/>
  <c r="AU645" i="1"/>
  <c r="AV645" i="1"/>
  <c r="AX645" i="1"/>
  <c r="AV646" i="1"/>
  <c r="AY646" i="1"/>
  <c r="AU647" i="1"/>
  <c r="AV647" i="1"/>
  <c r="AU648" i="1"/>
  <c r="AV648" i="1"/>
  <c r="AU649" i="1"/>
  <c r="AV649" i="1"/>
  <c r="AU650" i="1"/>
  <c r="AV650" i="1"/>
  <c r="AU651" i="1"/>
  <c r="AV651" i="1"/>
  <c r="AU652" i="1"/>
  <c r="AV652" i="1"/>
  <c r="AY652" i="1"/>
  <c r="AU653" i="1"/>
  <c r="AV653" i="1"/>
  <c r="AU654" i="1"/>
  <c r="AV654" i="1"/>
  <c r="AU655" i="1"/>
  <c r="AV655" i="1"/>
  <c r="AU656" i="1"/>
  <c r="AV656" i="1"/>
  <c r="AV657" i="1"/>
  <c r="AW657" i="1"/>
  <c r="AU658" i="1"/>
  <c r="AV658" i="1"/>
  <c r="AY658" i="1"/>
  <c r="AV659" i="1"/>
  <c r="AY659" i="1"/>
  <c r="AU660" i="1"/>
  <c r="AV660" i="1"/>
  <c r="AU661" i="1"/>
  <c r="AV661" i="1"/>
  <c r="AU662" i="1"/>
  <c r="AV662" i="1"/>
  <c r="AY662" i="1"/>
  <c r="AU663" i="1"/>
  <c r="AV663" i="1"/>
  <c r="AY663" i="1"/>
  <c r="AU664" i="1"/>
  <c r="AV664" i="1"/>
  <c r="AY664" i="1"/>
  <c r="AY643" i="1"/>
  <c r="AV643" i="1"/>
  <c r="AU643" i="1"/>
  <c r="AU640" i="1"/>
  <c r="AV640" i="1"/>
  <c r="AU641" i="1"/>
  <c r="AV641" i="1"/>
  <c r="AY639" i="1"/>
  <c r="AV639" i="1"/>
  <c r="AU639" i="1"/>
  <c r="AU635" i="1"/>
  <c r="AV635" i="1"/>
  <c r="AY635" i="1"/>
  <c r="AU636" i="1"/>
  <c r="AV636" i="1"/>
  <c r="AU637" i="1"/>
  <c r="AV637" i="1"/>
  <c r="AU620" i="1"/>
  <c r="AV620" i="1"/>
  <c r="AU621" i="1"/>
  <c r="AV621" i="1"/>
  <c r="AY621" i="1"/>
  <c r="AU622" i="1"/>
  <c r="AV622" i="1"/>
  <c r="AY622" i="1"/>
  <c r="AU623" i="1"/>
  <c r="AV623" i="1"/>
  <c r="AW623" i="1"/>
  <c r="AU624" i="1"/>
  <c r="AV624" i="1"/>
  <c r="AY624" i="1"/>
  <c r="AU625" i="1"/>
  <c r="AV625" i="1"/>
  <c r="AU626" i="1"/>
  <c r="AV626" i="1"/>
  <c r="AY626" i="1"/>
  <c r="AU627" i="1"/>
  <c r="AV627" i="1"/>
  <c r="AY627" i="1"/>
  <c r="AU628" i="1"/>
  <c r="AV628" i="1"/>
  <c r="AX628" i="1"/>
  <c r="AU629" i="1"/>
  <c r="AV629" i="1"/>
  <c r="AY629" i="1"/>
  <c r="AU630" i="1"/>
  <c r="AV630" i="1"/>
  <c r="AY630" i="1"/>
  <c r="AU631" i="1"/>
  <c r="AV631" i="1"/>
  <c r="AY631" i="1"/>
  <c r="AU632" i="1"/>
  <c r="AV632" i="1"/>
  <c r="AU633" i="1"/>
  <c r="AV633" i="1"/>
  <c r="AY633" i="1"/>
  <c r="AV634" i="1"/>
  <c r="AW634" i="1"/>
  <c r="AX634" i="1"/>
  <c r="AY634" i="1"/>
  <c r="AU598" i="1"/>
  <c r="AV598" i="1"/>
  <c r="AY598" i="1"/>
  <c r="AU599" i="1"/>
  <c r="AV599" i="1"/>
  <c r="AX599" i="1"/>
  <c r="AU600" i="1"/>
  <c r="AV600" i="1"/>
  <c r="AY600" i="1"/>
  <c r="AU601" i="1"/>
  <c r="AV601" i="1"/>
  <c r="AY601" i="1"/>
  <c r="AU602" i="1"/>
  <c r="AV602" i="1"/>
  <c r="AY602" i="1"/>
  <c r="AU603" i="1"/>
  <c r="AV603" i="1"/>
  <c r="AY603" i="1"/>
  <c r="AU604" i="1"/>
  <c r="AV604" i="1"/>
  <c r="AY604" i="1"/>
  <c r="AU605" i="1"/>
  <c r="AV605" i="1"/>
  <c r="AY605" i="1"/>
  <c r="AU606" i="1"/>
  <c r="AV606" i="1"/>
  <c r="AY606" i="1"/>
  <c r="AU607" i="1"/>
  <c r="AV607" i="1"/>
  <c r="AY607" i="1"/>
  <c r="AU608" i="1"/>
  <c r="AV608" i="1"/>
  <c r="AY608" i="1"/>
  <c r="AU609" i="1"/>
  <c r="AV609" i="1"/>
  <c r="AY609" i="1"/>
  <c r="AU610" i="1"/>
  <c r="AV610" i="1"/>
  <c r="AY610" i="1"/>
  <c r="AU611" i="1"/>
  <c r="AV611" i="1"/>
  <c r="AY611" i="1"/>
  <c r="AU612" i="1"/>
  <c r="AV612" i="1"/>
  <c r="AY612" i="1"/>
  <c r="AV613" i="1"/>
  <c r="AW613" i="1"/>
  <c r="AY613" i="1"/>
  <c r="AU614" i="1"/>
  <c r="AV614" i="1"/>
  <c r="AY614" i="1"/>
  <c r="AU615" i="1"/>
  <c r="AV615" i="1"/>
  <c r="AU616" i="1"/>
  <c r="AV616" i="1"/>
  <c r="AU617" i="1"/>
  <c r="AV617" i="1"/>
  <c r="AV618" i="1"/>
  <c r="AW618" i="1"/>
  <c r="AX618" i="1"/>
  <c r="AY618" i="1"/>
  <c r="AU619" i="1"/>
  <c r="AV619" i="1"/>
  <c r="AY619" i="1"/>
  <c r="AU576" i="1"/>
  <c r="AV576" i="1"/>
  <c r="AX576" i="1"/>
  <c r="AY576" i="1"/>
  <c r="AU577" i="1"/>
  <c r="AV577" i="1"/>
  <c r="AY577" i="1"/>
  <c r="AU578" i="1"/>
  <c r="AV578" i="1"/>
  <c r="AY578" i="1"/>
  <c r="AU579" i="1"/>
  <c r="AV579" i="1"/>
  <c r="AY579" i="1"/>
  <c r="AV580" i="1"/>
  <c r="AU581" i="1"/>
  <c r="AV581" i="1"/>
  <c r="AY581" i="1"/>
  <c r="AU582" i="1"/>
  <c r="AV582" i="1"/>
  <c r="AY582" i="1"/>
  <c r="AU583" i="1"/>
  <c r="AV583" i="1"/>
  <c r="AU584" i="1"/>
  <c r="AV584" i="1"/>
  <c r="AV585" i="1"/>
  <c r="AU586" i="1"/>
  <c r="AV586" i="1"/>
  <c r="AU587" i="1"/>
  <c r="AV587" i="1"/>
  <c r="AU588" i="1"/>
  <c r="AV588" i="1"/>
  <c r="AU589" i="1"/>
  <c r="AV589" i="1"/>
  <c r="AV590" i="1"/>
  <c r="AX590" i="1"/>
  <c r="AU591" i="1"/>
  <c r="AV591" i="1"/>
  <c r="AU592" i="1"/>
  <c r="AV592" i="1"/>
  <c r="AU594" i="1"/>
  <c r="AV594" i="1"/>
  <c r="AU595" i="1"/>
  <c r="AV595" i="1"/>
  <c r="AU596" i="1"/>
  <c r="AV596" i="1"/>
  <c r="AU597" i="1"/>
  <c r="AV597" i="1"/>
  <c r="AV558" i="1"/>
  <c r="AW558" i="1"/>
  <c r="AX558" i="1"/>
  <c r="AY558" i="1"/>
  <c r="AU559" i="1"/>
  <c r="AV559" i="1"/>
  <c r="AY559" i="1"/>
  <c r="AV560" i="1"/>
  <c r="AW560" i="1"/>
  <c r="AX560" i="1"/>
  <c r="AY560" i="1"/>
  <c r="AV561" i="1"/>
  <c r="AW561" i="1"/>
  <c r="AX561" i="1"/>
  <c r="AY561" i="1"/>
  <c r="AU562" i="1"/>
  <c r="AV562" i="1"/>
  <c r="AY562" i="1"/>
  <c r="AU563" i="1"/>
  <c r="AV563" i="1"/>
  <c r="AY563" i="1"/>
  <c r="AU564" i="1"/>
  <c r="AV564" i="1"/>
  <c r="AY564" i="1"/>
  <c r="AU565" i="1"/>
  <c r="AV565" i="1"/>
  <c r="AY565" i="1"/>
  <c r="AU566" i="1"/>
  <c r="AV566" i="1"/>
  <c r="AY566" i="1"/>
  <c r="AV567" i="1"/>
  <c r="AU568" i="1"/>
  <c r="AV568" i="1"/>
  <c r="AY568" i="1"/>
  <c r="AU569" i="1"/>
  <c r="AV569" i="1"/>
  <c r="AY569" i="1"/>
  <c r="AU570" i="1"/>
  <c r="AV570" i="1"/>
  <c r="AY570" i="1"/>
  <c r="AU571" i="1"/>
  <c r="AV571" i="1"/>
  <c r="AU572" i="1"/>
  <c r="AV572" i="1"/>
  <c r="AU573" i="1"/>
  <c r="AV573" i="1"/>
  <c r="AV574" i="1"/>
  <c r="AU575" i="1"/>
  <c r="AV575" i="1"/>
  <c r="AU540" i="1"/>
  <c r="AV540" i="1"/>
  <c r="AY540" i="1"/>
  <c r="AV541" i="1"/>
  <c r="AU542" i="1"/>
  <c r="AV542" i="1"/>
  <c r="AU543" i="1"/>
  <c r="AV543" i="1"/>
  <c r="AY543" i="1"/>
  <c r="AV544" i="1"/>
  <c r="AU545" i="1"/>
  <c r="AV545" i="1"/>
  <c r="AY545" i="1"/>
  <c r="AV546" i="1"/>
  <c r="AU547" i="1"/>
  <c r="AV547" i="1"/>
  <c r="AU548" i="1"/>
  <c r="AV548" i="1"/>
  <c r="AY548" i="1"/>
  <c r="AU549" i="1"/>
  <c r="AV549" i="1"/>
  <c r="AU550" i="1"/>
  <c r="AV550" i="1"/>
  <c r="AY550" i="1"/>
  <c r="AU551" i="1"/>
  <c r="AV551" i="1"/>
  <c r="AU552" i="1"/>
  <c r="AV552" i="1"/>
  <c r="AU553" i="1"/>
  <c r="AV553" i="1"/>
  <c r="AU554" i="1"/>
  <c r="AV554" i="1"/>
  <c r="AY554" i="1"/>
  <c r="AU555" i="1"/>
  <c r="AV555" i="1"/>
  <c r="AU556" i="1"/>
  <c r="AV556" i="1"/>
  <c r="AY556" i="1"/>
  <c r="AV557" i="1"/>
  <c r="AY557" i="1"/>
  <c r="AY539" i="1"/>
  <c r="AV539" i="1"/>
  <c r="AU539" i="1"/>
  <c r="AU536" i="1"/>
  <c r="AV536" i="1"/>
  <c r="AU537" i="1"/>
  <c r="AV537" i="1"/>
  <c r="AY535" i="1"/>
  <c r="AV535" i="1"/>
  <c r="AU535" i="1"/>
  <c r="AU522" i="1"/>
  <c r="AV522" i="1"/>
  <c r="AY522" i="1"/>
  <c r="AU523" i="1"/>
  <c r="AV523" i="1"/>
  <c r="AW523" i="1"/>
  <c r="AX523" i="1"/>
  <c r="AU524" i="1"/>
  <c r="AV524" i="1"/>
  <c r="AY524" i="1"/>
  <c r="AU525" i="1"/>
  <c r="AV525" i="1"/>
  <c r="AU526" i="1"/>
  <c r="AV526" i="1"/>
  <c r="AY526" i="1"/>
  <c r="AU527" i="1"/>
  <c r="AV527" i="1"/>
  <c r="AV528" i="1"/>
  <c r="AW528" i="1"/>
  <c r="AU529" i="1"/>
  <c r="AV529" i="1"/>
  <c r="AY529" i="1"/>
  <c r="AU530" i="1"/>
  <c r="AV530" i="1"/>
  <c r="AY530" i="1"/>
  <c r="AU531" i="1"/>
  <c r="AV531" i="1"/>
  <c r="AY531" i="1"/>
  <c r="AU532" i="1"/>
  <c r="AV532" i="1"/>
  <c r="AU533" i="1"/>
  <c r="AV533" i="1"/>
  <c r="AY533" i="1"/>
  <c r="AV506" i="1"/>
  <c r="AU507" i="1"/>
  <c r="AV507" i="1"/>
  <c r="AU508" i="1"/>
  <c r="AV508" i="1"/>
  <c r="AW508" i="1"/>
  <c r="AY508" i="1"/>
  <c r="AU509" i="1"/>
  <c r="AV509" i="1"/>
  <c r="AY509" i="1"/>
  <c r="AU510" i="1"/>
  <c r="AV510" i="1"/>
  <c r="AY510" i="1"/>
  <c r="AU511" i="1"/>
  <c r="AV511" i="1"/>
  <c r="AY511" i="1"/>
  <c r="AU512" i="1"/>
  <c r="AV512" i="1"/>
  <c r="AY512" i="1"/>
  <c r="AU513" i="1"/>
  <c r="AV513" i="1"/>
  <c r="AY513" i="1"/>
  <c r="AV514" i="1"/>
  <c r="AU515" i="1"/>
  <c r="AV515" i="1"/>
  <c r="AV516" i="1"/>
  <c r="AW516" i="1"/>
  <c r="AX516" i="1"/>
  <c r="AY516" i="1"/>
  <c r="AV517" i="1"/>
  <c r="AW517" i="1"/>
  <c r="AX517" i="1"/>
  <c r="AU518" i="1"/>
  <c r="AV518" i="1"/>
  <c r="AY518" i="1"/>
  <c r="AU519" i="1"/>
  <c r="AV519" i="1"/>
  <c r="AU520" i="1"/>
  <c r="AV520" i="1"/>
  <c r="AY520" i="1"/>
  <c r="AU521" i="1"/>
  <c r="AV521" i="1"/>
  <c r="AY521" i="1"/>
  <c r="AY505" i="1"/>
  <c r="AV505" i="1"/>
  <c r="AU505" i="1"/>
  <c r="AY503" i="1"/>
  <c r="AV503" i="1"/>
  <c r="AU503" i="1"/>
  <c r="AY500" i="1"/>
  <c r="AV500" i="1"/>
  <c r="AU500" i="1"/>
  <c r="AU497" i="1"/>
  <c r="AV497" i="1"/>
  <c r="AY497" i="1"/>
  <c r="AV496" i="1"/>
  <c r="AU496" i="1"/>
  <c r="AU483" i="1"/>
  <c r="AV483" i="1"/>
  <c r="AY483" i="1"/>
  <c r="AU484" i="1"/>
  <c r="AV484" i="1"/>
  <c r="AY484" i="1"/>
  <c r="AU485" i="1"/>
  <c r="AV485" i="1"/>
  <c r="AY485" i="1"/>
  <c r="AU486" i="1"/>
  <c r="AV486" i="1"/>
  <c r="AY486" i="1"/>
  <c r="AU487" i="1"/>
  <c r="AV487" i="1"/>
  <c r="AU488" i="1"/>
  <c r="AV488" i="1"/>
  <c r="AV489" i="1"/>
  <c r="AU490" i="1"/>
  <c r="AV490" i="1"/>
  <c r="AU491" i="1"/>
  <c r="AV491" i="1"/>
  <c r="AU492" i="1"/>
  <c r="AV492" i="1"/>
  <c r="AW492" i="1"/>
  <c r="AX492" i="1"/>
  <c r="AU493" i="1"/>
  <c r="AV493" i="1"/>
  <c r="AY493" i="1"/>
  <c r="AU494" i="1"/>
  <c r="AV494" i="1"/>
  <c r="AY494" i="1"/>
  <c r="AY482" i="1"/>
  <c r="AV482" i="1"/>
  <c r="AU482" i="1"/>
  <c r="AU462" i="1"/>
  <c r="AV462" i="1"/>
  <c r="AU463" i="1"/>
  <c r="AV463" i="1"/>
  <c r="AU464" i="1"/>
  <c r="AV464" i="1"/>
  <c r="AU465" i="1"/>
  <c r="AV465" i="1"/>
  <c r="AU466" i="1"/>
  <c r="AV466" i="1"/>
  <c r="AU467" i="1"/>
  <c r="AV467" i="1"/>
  <c r="AU468" i="1"/>
  <c r="AV468" i="1"/>
  <c r="AU469" i="1"/>
  <c r="AV469" i="1"/>
  <c r="AU470" i="1"/>
  <c r="AV470" i="1"/>
  <c r="AU471" i="1"/>
  <c r="AV471" i="1"/>
  <c r="AU472" i="1"/>
  <c r="AV472" i="1"/>
  <c r="AU473" i="1"/>
  <c r="AV473" i="1"/>
  <c r="AU474" i="1"/>
  <c r="AV474" i="1"/>
  <c r="AU475" i="1"/>
  <c r="AV475" i="1"/>
  <c r="AU476" i="1"/>
  <c r="AV476" i="1"/>
  <c r="AU478" i="1"/>
  <c r="AV478" i="1"/>
  <c r="AU479" i="1"/>
  <c r="AV479" i="1"/>
  <c r="AU480" i="1"/>
  <c r="AV480" i="1"/>
  <c r="AU444" i="1"/>
  <c r="AV444" i="1"/>
  <c r="AU445" i="1"/>
  <c r="AV445" i="1"/>
  <c r="AX445" i="1"/>
  <c r="AU446" i="1"/>
  <c r="AV446" i="1"/>
  <c r="AU447" i="1"/>
  <c r="AV447" i="1"/>
  <c r="AU448" i="1"/>
  <c r="AV448" i="1"/>
  <c r="AU449" i="1"/>
  <c r="AV449" i="1"/>
  <c r="AV450" i="1"/>
  <c r="AX450" i="1"/>
  <c r="AY450" i="1"/>
  <c r="AU451" i="1"/>
  <c r="AV451" i="1"/>
  <c r="AU452" i="1"/>
  <c r="AV452" i="1"/>
  <c r="AU453" i="1"/>
  <c r="AV453" i="1"/>
  <c r="AU454" i="1"/>
  <c r="AV454" i="1"/>
  <c r="AY454" i="1"/>
  <c r="AU455" i="1"/>
  <c r="AV455" i="1"/>
  <c r="AV456" i="1"/>
  <c r="AU457" i="1"/>
  <c r="AV457" i="1"/>
  <c r="AY457" i="1"/>
  <c r="AU458" i="1"/>
  <c r="AV458" i="1"/>
  <c r="AU459" i="1"/>
  <c r="AV459" i="1"/>
  <c r="AY459" i="1"/>
  <c r="AU460" i="1"/>
  <c r="AV460" i="1"/>
  <c r="AV461" i="1"/>
  <c r="AU420" i="1"/>
  <c r="AV420" i="1"/>
  <c r="AU421" i="1"/>
  <c r="AV421" i="1"/>
  <c r="AY421" i="1"/>
  <c r="AU422" i="1"/>
  <c r="AV422" i="1"/>
  <c r="AW422" i="1"/>
  <c r="AY422" i="1"/>
  <c r="AU423" i="1"/>
  <c r="AV423" i="1"/>
  <c r="AU424" i="1"/>
  <c r="AV424" i="1"/>
  <c r="AY424" i="1"/>
  <c r="AU425" i="1"/>
  <c r="AV425" i="1"/>
  <c r="AY425" i="1"/>
  <c r="AU426" i="1"/>
  <c r="AV426" i="1"/>
  <c r="AY426" i="1"/>
  <c r="AU427" i="1"/>
  <c r="AV427" i="1"/>
  <c r="AW427" i="1"/>
  <c r="AU428" i="1"/>
  <c r="AV428" i="1"/>
  <c r="AU429" i="1"/>
  <c r="AV429" i="1"/>
  <c r="AU430" i="1"/>
  <c r="AV430" i="1"/>
  <c r="AY430" i="1"/>
  <c r="AU431" i="1"/>
  <c r="AV431" i="1"/>
  <c r="AY431" i="1"/>
  <c r="AU432" i="1"/>
  <c r="AV432" i="1"/>
  <c r="AY432" i="1"/>
  <c r="AU433" i="1"/>
  <c r="AV433" i="1"/>
  <c r="AY433" i="1"/>
  <c r="AU434" i="1"/>
  <c r="AV434" i="1"/>
  <c r="AW434" i="1"/>
  <c r="AU435" i="1"/>
  <c r="AV435" i="1"/>
  <c r="AY435" i="1"/>
  <c r="AV436" i="1"/>
  <c r="AV437" i="1"/>
  <c r="AV438" i="1"/>
  <c r="AU439" i="1"/>
  <c r="AV439" i="1"/>
  <c r="AU440" i="1"/>
  <c r="AV440" i="1"/>
  <c r="AV441" i="1"/>
  <c r="AU442" i="1"/>
  <c r="AV442" i="1"/>
  <c r="AU443" i="1"/>
  <c r="AV443" i="1"/>
  <c r="AV419" i="1"/>
  <c r="AU419" i="1"/>
  <c r="AU411" i="1"/>
  <c r="AV411" i="1"/>
  <c r="AU412" i="1"/>
  <c r="AV412" i="1"/>
  <c r="AU413" i="1"/>
  <c r="AV413" i="1"/>
  <c r="AY413" i="1"/>
  <c r="AU414" i="1"/>
  <c r="AV414" i="1"/>
  <c r="AU415" i="1"/>
  <c r="AV415" i="1"/>
  <c r="AU416" i="1"/>
  <c r="AV416" i="1"/>
  <c r="AY416" i="1"/>
  <c r="AU417" i="1"/>
  <c r="AV417" i="1"/>
  <c r="AY417" i="1"/>
  <c r="AU390" i="1"/>
  <c r="AV390" i="1"/>
  <c r="AU391" i="1"/>
  <c r="AV391" i="1"/>
  <c r="AU392" i="1"/>
  <c r="AV392" i="1"/>
  <c r="AU393" i="1"/>
  <c r="AV393" i="1"/>
  <c r="AU394" i="1"/>
  <c r="AV394" i="1"/>
  <c r="AY394" i="1"/>
  <c r="AU395" i="1"/>
  <c r="AV395" i="1"/>
  <c r="AU396" i="1"/>
  <c r="AV396" i="1"/>
  <c r="AY396" i="1"/>
  <c r="AU397" i="1"/>
  <c r="AV397" i="1"/>
  <c r="AU398" i="1"/>
  <c r="AV398" i="1"/>
  <c r="AY398" i="1"/>
  <c r="AU399" i="1"/>
  <c r="AV399" i="1"/>
  <c r="AY399" i="1"/>
  <c r="AU400" i="1"/>
  <c r="AV400" i="1"/>
  <c r="AY400" i="1"/>
  <c r="AU401" i="1"/>
  <c r="AV401" i="1"/>
  <c r="AY401" i="1"/>
  <c r="AU402" i="1"/>
  <c r="AV402" i="1"/>
  <c r="AY402" i="1"/>
  <c r="AU403" i="1"/>
  <c r="AV403" i="1"/>
  <c r="AY403" i="1"/>
  <c r="AU404" i="1"/>
  <c r="AV404" i="1"/>
  <c r="AY404" i="1"/>
  <c r="AU405" i="1"/>
  <c r="AV405" i="1"/>
  <c r="AY405" i="1"/>
  <c r="AU406" i="1"/>
  <c r="AV406" i="1"/>
  <c r="AY406" i="1"/>
  <c r="AU407" i="1"/>
  <c r="AV407" i="1"/>
  <c r="AU408" i="1"/>
  <c r="AV408" i="1"/>
  <c r="AU409" i="1"/>
  <c r="AV409" i="1"/>
  <c r="AY409" i="1"/>
  <c r="AU410" i="1"/>
  <c r="AV410" i="1"/>
  <c r="AY410" i="1"/>
  <c r="AY389" i="1"/>
  <c r="AV389" i="1"/>
  <c r="AU389" i="1"/>
  <c r="AU385" i="1"/>
  <c r="AV385" i="1"/>
  <c r="AV386" i="1"/>
  <c r="AU387" i="1"/>
  <c r="AV387" i="1"/>
  <c r="AY384" i="1"/>
  <c r="AV384" i="1"/>
  <c r="AU384" i="1"/>
  <c r="AV381" i="1"/>
  <c r="AU381" i="1"/>
  <c r="AY381" i="1"/>
  <c r="AU379" i="1"/>
  <c r="AV379" i="1"/>
  <c r="AY379" i="1"/>
  <c r="AY367" i="1"/>
  <c r="AY368" i="1"/>
  <c r="AY369" i="1"/>
  <c r="AY370" i="1"/>
  <c r="AY372" i="1"/>
  <c r="AY374" i="1"/>
  <c r="AY377" i="1"/>
  <c r="AY378" i="1"/>
  <c r="AY366" i="1"/>
  <c r="AU367" i="1"/>
  <c r="AV367" i="1"/>
  <c r="AU368" i="1"/>
  <c r="AV368" i="1"/>
  <c r="AU369" i="1"/>
  <c r="AV369" i="1"/>
  <c r="AU370" i="1"/>
  <c r="AV370" i="1"/>
  <c r="AU372" i="1"/>
  <c r="AV372" i="1"/>
  <c r="AU373" i="1"/>
  <c r="AV373" i="1"/>
  <c r="AU374" i="1"/>
  <c r="AV374" i="1"/>
  <c r="AU375" i="1"/>
  <c r="AV375" i="1"/>
  <c r="AU376" i="1"/>
  <c r="AV376" i="1"/>
  <c r="AU377" i="1"/>
  <c r="AV377" i="1"/>
  <c r="AU378" i="1"/>
  <c r="AV378" i="1"/>
  <c r="AV366" i="1"/>
  <c r="AU366" i="1"/>
  <c r="AU339" i="1"/>
  <c r="AV339" i="1"/>
  <c r="AU340" i="1"/>
  <c r="AV340" i="1"/>
  <c r="AU341" i="1"/>
  <c r="AV341" i="1"/>
  <c r="AU342" i="1"/>
  <c r="AV342" i="1"/>
  <c r="AW342" i="1"/>
  <c r="AX342" i="1"/>
  <c r="AU343" i="1"/>
  <c r="AV343" i="1"/>
  <c r="AY343" i="1"/>
  <c r="AU344" i="1"/>
  <c r="AV344" i="1"/>
  <c r="AY344" i="1"/>
  <c r="AU345" i="1"/>
  <c r="AV345" i="1"/>
  <c r="AU346" i="1"/>
  <c r="AV346" i="1"/>
  <c r="AV347" i="1"/>
  <c r="AY347" i="1"/>
  <c r="AU138" i="1"/>
  <c r="AV138" i="1"/>
  <c r="AU351" i="1"/>
  <c r="AV351" i="1"/>
  <c r="AY351" i="1"/>
  <c r="AU352" i="1"/>
  <c r="AV352" i="1"/>
  <c r="AV353" i="1"/>
  <c r="AY353" i="1"/>
  <c r="AU355" i="1"/>
  <c r="AV355" i="1"/>
  <c r="AU356" i="1"/>
  <c r="AV356" i="1"/>
  <c r="AU357" i="1"/>
  <c r="AV357" i="1"/>
  <c r="AY357" i="1"/>
  <c r="AU358" i="1"/>
  <c r="AV358" i="1"/>
  <c r="AY358" i="1"/>
  <c r="AU359" i="1"/>
  <c r="AV359" i="1"/>
  <c r="AY359" i="1"/>
  <c r="AU360" i="1"/>
  <c r="AV360" i="1"/>
  <c r="AY360" i="1"/>
  <c r="AU361" i="1"/>
  <c r="AV361" i="1"/>
  <c r="AY361" i="1"/>
  <c r="AU362" i="1"/>
  <c r="AV362" i="1"/>
  <c r="AY362" i="1"/>
  <c r="AU363" i="1"/>
  <c r="AV363" i="1"/>
  <c r="AY363" i="1"/>
  <c r="AU316" i="1"/>
  <c r="AV316" i="1"/>
  <c r="AY316" i="1"/>
  <c r="AU317" i="1"/>
  <c r="AV317" i="1"/>
  <c r="AY317" i="1"/>
  <c r="AU318" i="1"/>
  <c r="AV318" i="1"/>
  <c r="AU319" i="1"/>
  <c r="AV319" i="1"/>
  <c r="AU320" i="1"/>
  <c r="AV320" i="1"/>
  <c r="AU321" i="1"/>
  <c r="AV321" i="1"/>
  <c r="AY321" i="1"/>
  <c r="AU322" i="1"/>
  <c r="AV322" i="1"/>
  <c r="AY322" i="1"/>
  <c r="AU323" i="1"/>
  <c r="AV323" i="1"/>
  <c r="AU324" i="1"/>
  <c r="AV324" i="1"/>
  <c r="AX324" i="1"/>
  <c r="AU112" i="1"/>
  <c r="AV112" i="1"/>
  <c r="AY112" i="1"/>
  <c r="AU325" i="1"/>
  <c r="AV325" i="1"/>
  <c r="AU326" i="1"/>
  <c r="AV326" i="1"/>
  <c r="AU327" i="1"/>
  <c r="AV327" i="1"/>
  <c r="AU328" i="1"/>
  <c r="AV328" i="1"/>
  <c r="AY328" i="1"/>
  <c r="AV329" i="1"/>
  <c r="AU330" i="1"/>
  <c r="AV330" i="1"/>
  <c r="AY330" i="1"/>
  <c r="AU331" i="1"/>
  <c r="AV331" i="1"/>
  <c r="AU332" i="1"/>
  <c r="AV332" i="1"/>
  <c r="AY332" i="1"/>
  <c r="AU333" i="1"/>
  <c r="AV333" i="1"/>
  <c r="AY333" i="1"/>
  <c r="AV334" i="1"/>
  <c r="AY334" i="1"/>
  <c r="AU335" i="1"/>
  <c r="AV335" i="1"/>
  <c r="AU336" i="1"/>
  <c r="AV336" i="1"/>
  <c r="AY336" i="1"/>
  <c r="AU337" i="1"/>
  <c r="AV337" i="1"/>
  <c r="AY337" i="1"/>
  <c r="AU308" i="1"/>
  <c r="AV308" i="1"/>
  <c r="AY308" i="1"/>
  <c r="AU309" i="1"/>
  <c r="AV309" i="1"/>
  <c r="AW309" i="1"/>
  <c r="AX309" i="1"/>
  <c r="AU310" i="1"/>
  <c r="AV310" i="1"/>
  <c r="AU311" i="1"/>
  <c r="AV311" i="1"/>
  <c r="AU312" i="1"/>
  <c r="AV312" i="1"/>
  <c r="AU106" i="1"/>
  <c r="AV106" i="1"/>
  <c r="AU313" i="1"/>
  <c r="AV313" i="1"/>
  <c r="AU314" i="1"/>
  <c r="AV314" i="1"/>
  <c r="AY314" i="1"/>
  <c r="AU315" i="1"/>
  <c r="AV315" i="1"/>
  <c r="AY315" i="1"/>
  <c r="AV307" i="1"/>
  <c r="AU304" i="1"/>
  <c r="AV304" i="1"/>
  <c r="AU297" i="1"/>
  <c r="AV297" i="1"/>
  <c r="AU298" i="1"/>
  <c r="AV298" i="1"/>
  <c r="AU299" i="1"/>
  <c r="AV299" i="1"/>
  <c r="AY299" i="1"/>
  <c r="AU300" i="1"/>
  <c r="AV300" i="1"/>
  <c r="AU301" i="1"/>
  <c r="AV301" i="1"/>
  <c r="AU302" i="1"/>
  <c r="AV302" i="1"/>
  <c r="AY302" i="1"/>
  <c r="AU303" i="1"/>
  <c r="AV303" i="1"/>
  <c r="AV296" i="1"/>
  <c r="AU296" i="1"/>
  <c r="AU294" i="1"/>
  <c r="AV294" i="1"/>
  <c r="AY294" i="1"/>
  <c r="AV289" i="1"/>
  <c r="AY289" i="1"/>
  <c r="AU291" i="1"/>
  <c r="AV291" i="1"/>
  <c r="AU292" i="1"/>
  <c r="AV292" i="1"/>
  <c r="AU293" i="1"/>
  <c r="AV293" i="1"/>
  <c r="AY293" i="1"/>
  <c r="AU267" i="1"/>
  <c r="AV267" i="1"/>
  <c r="AV268" i="1"/>
  <c r="AU269" i="1"/>
  <c r="AV269" i="1"/>
  <c r="AY269" i="1"/>
  <c r="AU270" i="1"/>
  <c r="AV270" i="1"/>
  <c r="AU69" i="1"/>
  <c r="AV69" i="1"/>
  <c r="AY69" i="1"/>
  <c r="AU272" i="1"/>
  <c r="AV272" i="1"/>
  <c r="AY272" i="1"/>
  <c r="AU274" i="1"/>
  <c r="AV274" i="1"/>
  <c r="AU275" i="1"/>
  <c r="AV275" i="1"/>
  <c r="AU277" i="1"/>
  <c r="AV277" i="1"/>
  <c r="AU279" i="1"/>
  <c r="AV279" i="1"/>
  <c r="AY279" i="1"/>
  <c r="AU280" i="1"/>
  <c r="AV280" i="1"/>
  <c r="AY280" i="1"/>
  <c r="AU281" i="1"/>
  <c r="AV281" i="1"/>
  <c r="AY281" i="1"/>
  <c r="AU282" i="1"/>
  <c r="AV282" i="1"/>
  <c r="AY282" i="1"/>
  <c r="AU283" i="1"/>
  <c r="AV283" i="1"/>
  <c r="AY283" i="1"/>
  <c r="AU284" i="1"/>
  <c r="AV284" i="1"/>
  <c r="AY284" i="1"/>
  <c r="AU285" i="1"/>
  <c r="AV285" i="1"/>
  <c r="AU286" i="1"/>
  <c r="AV286" i="1"/>
  <c r="AU288" i="1"/>
  <c r="AV288" i="1"/>
  <c r="AY288" i="1"/>
  <c r="AU255" i="1"/>
  <c r="AV255" i="1"/>
  <c r="AU256" i="1"/>
  <c r="AV256" i="1"/>
  <c r="AU257" i="1"/>
  <c r="AV257" i="1"/>
  <c r="AW257" i="1"/>
  <c r="AY257" i="1"/>
  <c r="AU258" i="1"/>
  <c r="AV258" i="1"/>
  <c r="AY258" i="1"/>
  <c r="AU259" i="1"/>
  <c r="AV259" i="1"/>
  <c r="AU261" i="1"/>
  <c r="AV261" i="1"/>
  <c r="AY261" i="1"/>
  <c r="AU262" i="1"/>
  <c r="AV262" i="1"/>
  <c r="AY262" i="1"/>
  <c r="AU263" i="1"/>
  <c r="AV263" i="1"/>
  <c r="AY263" i="1"/>
  <c r="AU264" i="1"/>
  <c r="AV264" i="1"/>
  <c r="AY264" i="1"/>
  <c r="AU265" i="1"/>
  <c r="AV265" i="1"/>
  <c r="AY265" i="1"/>
  <c r="AU266" i="1"/>
  <c r="AV266" i="1"/>
  <c r="AU254" i="1"/>
  <c r="AV254" i="1"/>
  <c r="AW254" i="1"/>
  <c r="AX254" i="1"/>
  <c r="AY254" i="1"/>
  <c r="AU253" i="1"/>
  <c r="AV253" i="1"/>
  <c r="AY253" i="1"/>
  <c r="AY252" i="1"/>
  <c r="AV252" i="1"/>
  <c r="AU252" i="1"/>
  <c r="AV244" i="1"/>
  <c r="AU246" i="1"/>
  <c r="AV246" i="1"/>
  <c r="AY246" i="1"/>
  <c r="AU247" i="1"/>
  <c r="AV247" i="1"/>
  <c r="AY247" i="1"/>
  <c r="AU248" i="1"/>
  <c r="AV248" i="1"/>
  <c r="AY248" i="1"/>
  <c r="AU228" i="1"/>
  <c r="AV228" i="1"/>
  <c r="AY228" i="1"/>
  <c r="AU229" i="1"/>
  <c r="AV229" i="1"/>
  <c r="AY229" i="1"/>
  <c r="AU230" i="1"/>
  <c r="AV230" i="1"/>
  <c r="AY230" i="1"/>
  <c r="AU231" i="1"/>
  <c r="AV231" i="1"/>
  <c r="AU233" i="1"/>
  <c r="AV233" i="1"/>
  <c r="AY233" i="1"/>
  <c r="AU234" i="1"/>
  <c r="AV234" i="1"/>
  <c r="AU236" i="1"/>
  <c r="AV236" i="1"/>
  <c r="AY236" i="1"/>
  <c r="AU238" i="1"/>
  <c r="AV238" i="1"/>
  <c r="AY238" i="1"/>
  <c r="AU239" i="1"/>
  <c r="AV239" i="1"/>
  <c r="AY239" i="1"/>
  <c r="AU240" i="1"/>
  <c r="AV240" i="1"/>
  <c r="AY240" i="1"/>
  <c r="AU241" i="1"/>
  <c r="AV241" i="1"/>
  <c r="AY241" i="1"/>
  <c r="AU243" i="1"/>
  <c r="AV243" i="1"/>
  <c r="AY243" i="1"/>
  <c r="AY227" i="1"/>
  <c r="AV227" i="1"/>
  <c r="AU227" i="1"/>
  <c r="AU220" i="1"/>
  <c r="AV220" i="1"/>
  <c r="AY220" i="1"/>
  <c r="AU221" i="1"/>
  <c r="AV221" i="1"/>
  <c r="AY221" i="1"/>
  <c r="AU222" i="1"/>
  <c r="AV222" i="1"/>
  <c r="AY222" i="1"/>
  <c r="AU223" i="1"/>
  <c r="AV223" i="1"/>
  <c r="AY223" i="1"/>
  <c r="AU224" i="1"/>
  <c r="AV224" i="1"/>
  <c r="AY224" i="1"/>
  <c r="AU225" i="1"/>
  <c r="AV225" i="1"/>
  <c r="AY225" i="1"/>
  <c r="AU226" i="1"/>
  <c r="AV226" i="1"/>
  <c r="AU208" i="1"/>
  <c r="AV208" i="1"/>
  <c r="AY208" i="1"/>
  <c r="AU209" i="1"/>
  <c r="AV209" i="1"/>
  <c r="AX209" i="1"/>
  <c r="AU210" i="1"/>
  <c r="AV210" i="1"/>
  <c r="AU211" i="1"/>
  <c r="AV211" i="1"/>
  <c r="AX211" i="1"/>
  <c r="AU212" i="1"/>
  <c r="AV212" i="1"/>
  <c r="AY212" i="1"/>
  <c r="AU213" i="1"/>
  <c r="AV213" i="1"/>
  <c r="AU214" i="1"/>
  <c r="AV214" i="1"/>
  <c r="AU215" i="1"/>
  <c r="AV215" i="1"/>
  <c r="AU216" i="1"/>
  <c r="AV216" i="1"/>
  <c r="AU217" i="1"/>
  <c r="AV217" i="1"/>
  <c r="AU218" i="1"/>
  <c r="AV218" i="1"/>
  <c r="AU219" i="1"/>
  <c r="AV219" i="1"/>
  <c r="AV207" i="1"/>
  <c r="AU207" i="1"/>
  <c r="AS499" i="1" l="1"/>
  <c r="AS498" i="1"/>
  <c r="AS502" i="1"/>
  <c r="AS501" i="1"/>
  <c r="AS504" i="1"/>
  <c r="AT204" i="1"/>
  <c r="AT205" i="1"/>
  <c r="AS254" i="1"/>
  <c r="AT534" i="1" s="1"/>
  <c r="AR254" i="1"/>
  <c r="Z254" i="1"/>
  <c r="X254" i="1"/>
  <c r="N254" i="1"/>
  <c r="U254" i="10"/>
  <c r="E254" i="10"/>
  <c r="U254" i="1" l="1"/>
  <c r="V254" i="1"/>
  <c r="N534" i="1" l="1"/>
  <c r="AS249" i="1" l="1"/>
  <c r="AS250" i="1"/>
  <c r="AS418" i="1"/>
  <c r="AT418" i="1" s="1"/>
  <c r="AS642" i="1"/>
  <c r="AS638" i="1"/>
  <c r="AS538" i="1"/>
  <c r="S538" i="1" s="1"/>
  <c r="AT538" i="1" s="1"/>
  <c r="AS388" i="1"/>
  <c r="AS383" i="1"/>
  <c r="AT383" i="1" s="1"/>
  <c r="AS382" i="1"/>
  <c r="AT382" i="1" s="1"/>
  <c r="AS380" i="1"/>
  <c r="AT380" i="1" s="1"/>
  <c r="AS365" i="1"/>
  <c r="AT365" i="1" s="1"/>
  <c r="AS306" i="1"/>
  <c r="AS295" i="1"/>
  <c r="AS127" i="1"/>
  <c r="AT127" i="1" s="1"/>
  <c r="AS271" i="1"/>
  <c r="AR642" i="1"/>
  <c r="R642" i="1" s="1"/>
  <c r="AR638" i="1"/>
  <c r="R638" i="1" s="1"/>
  <c r="AR538" i="1"/>
  <c r="R538" i="1" s="1"/>
  <c r="AR504" i="1"/>
  <c r="R504" i="1" s="1"/>
  <c r="S504" i="1" s="1"/>
  <c r="AT504" i="1" s="1"/>
  <c r="AR501" i="1"/>
  <c r="R501" i="1" s="1"/>
  <c r="AR502" i="1"/>
  <c r="R502" i="1" s="1"/>
  <c r="AR498" i="1"/>
  <c r="AR499" i="1"/>
  <c r="R499" i="1" s="1"/>
  <c r="AR418" i="1"/>
  <c r="AR382" i="1"/>
  <c r="AR383" i="1"/>
  <c r="AR380" i="1"/>
  <c r="AR365" i="1"/>
  <c r="AR306" i="1"/>
  <c r="R306" i="1" s="1"/>
  <c r="AR295" i="1"/>
  <c r="R295" i="1" s="1"/>
  <c r="AR249" i="1"/>
  <c r="R249" i="1" s="1"/>
  <c r="AR250" i="1"/>
  <c r="R250" i="1" s="1"/>
  <c r="AR127" i="1"/>
  <c r="AR271" i="1"/>
  <c r="R271" i="1" s="1"/>
  <c r="AR388" i="1"/>
  <c r="R388" i="1" s="1"/>
  <c r="E249" i="10"/>
  <c r="E250" i="10"/>
  <c r="S260" i="1" l="1"/>
  <c r="T260" i="1" s="1"/>
  <c r="N260" i="1" s="1"/>
  <c r="N504" i="1"/>
  <c r="AP504" i="1" s="1"/>
  <c r="AQ613" i="1"/>
  <c r="S638" i="1"/>
  <c r="AT638" i="1" s="1"/>
  <c r="R498" i="1"/>
  <c r="V260" i="1" l="1"/>
  <c r="U260" i="1"/>
  <c r="AP260" i="1"/>
  <c r="AQ495" i="1" l="1"/>
  <c r="AR495" i="1"/>
  <c r="R495" i="1" s="1"/>
  <c r="Z495" i="1"/>
  <c r="X495" i="1"/>
  <c r="U495" i="10"/>
  <c r="E495" i="10"/>
  <c r="AD498" i="1" l="1"/>
  <c r="U271" i="10" l="1"/>
  <c r="U121" i="10"/>
  <c r="U123" i="10"/>
  <c r="U295" i="10"/>
  <c r="U388" i="10"/>
  <c r="U363" i="10"/>
  <c r="U365" i="10"/>
  <c r="U366" i="10"/>
  <c r="U367" i="10"/>
  <c r="U368" i="10"/>
  <c r="U369" i="10"/>
  <c r="U370" i="10"/>
  <c r="U372" i="10"/>
  <c r="U373" i="10"/>
  <c r="U374" i="10"/>
  <c r="U375" i="10"/>
  <c r="U376" i="10"/>
  <c r="U377" i="10"/>
  <c r="U378" i="10"/>
  <c r="U379" i="10"/>
  <c r="U380" i="10"/>
  <c r="U381" i="10"/>
  <c r="U382" i="10"/>
  <c r="U383" i="10"/>
  <c r="U538" i="10"/>
  <c r="U642" i="10"/>
  <c r="Z638" i="1"/>
  <c r="X638" i="1"/>
  <c r="E642" i="10"/>
  <c r="S642" i="1" s="1"/>
  <c r="U638" i="10"/>
  <c r="E638" i="10"/>
  <c r="T638" i="1" s="1"/>
  <c r="E538" i="10"/>
  <c r="P418" i="1"/>
  <c r="E418" i="10"/>
  <c r="Y388" i="1"/>
  <c r="E388" i="10"/>
  <c r="Z306" i="1"/>
  <c r="X306" i="1"/>
  <c r="Z295" i="1"/>
  <c r="X295" i="1"/>
  <c r="U306" i="10"/>
  <c r="E306" i="10"/>
  <c r="E295" i="10"/>
  <c r="P380" i="1"/>
  <c r="P383" i="1"/>
  <c r="P382" i="1"/>
  <c r="P365" i="1"/>
  <c r="E380" i="10"/>
  <c r="E383" i="10"/>
  <c r="E382" i="10"/>
  <c r="E365" i="10"/>
  <c r="E271" i="10"/>
  <c r="T271" i="1"/>
  <c r="P271" i="1"/>
  <c r="T127" i="1"/>
  <c r="U127" i="10"/>
  <c r="E127" i="10"/>
  <c r="R127" i="1" s="1"/>
  <c r="P642" i="1" l="1"/>
  <c r="N642" i="1" s="1"/>
  <c r="AT642" i="1"/>
  <c r="N638" i="1"/>
  <c r="N127" i="1"/>
  <c r="U638" i="1" l="1"/>
  <c r="AP638" i="1"/>
  <c r="U642" i="1"/>
  <c r="AP642" i="1"/>
  <c r="V127" i="1"/>
  <c r="AP127" i="1"/>
  <c r="U127" i="1"/>
  <c r="AS49" i="1" l="1"/>
  <c r="AT49" i="1" s="1"/>
  <c r="AR49" i="1"/>
  <c r="U49" i="10"/>
  <c r="E49" i="10"/>
  <c r="S163" i="1"/>
  <c r="AT163" i="1" s="1"/>
  <c r="AR163" i="1"/>
  <c r="Z163" i="1"/>
  <c r="X163" i="1"/>
  <c r="U163" i="10"/>
  <c r="E163" i="10"/>
  <c r="P20" i="1" l="1"/>
  <c r="P17" i="1" l="1"/>
  <c r="P14" i="1" s="1"/>
  <c r="AP5" i="1" s="1"/>
  <c r="AQ5" i="1" s="1"/>
  <c r="U645" i="10"/>
  <c r="AP8" i="1" l="1"/>
  <c r="AP7" i="1" s="1"/>
  <c r="AP11" i="1"/>
  <c r="AW268" i="1"/>
  <c r="AX268" i="1"/>
  <c r="P517" i="1" l="1"/>
  <c r="AU517" i="1" s="1"/>
  <c r="U122" i="10" l="1"/>
  <c r="U203" i="10"/>
  <c r="U204" i="10"/>
  <c r="U205" i="10"/>
  <c r="AR324" i="1"/>
  <c r="Z324" i="1"/>
  <c r="X324" i="1"/>
  <c r="U324" i="10"/>
  <c r="E324" i="10"/>
  <c r="AR268" i="1"/>
  <c r="Z268" i="1"/>
  <c r="X268" i="1"/>
  <c r="U268" i="10"/>
  <c r="E268" i="10"/>
  <c r="AS175" i="1" l="1"/>
  <c r="AT175" i="1" s="1"/>
  <c r="AR175" i="1"/>
  <c r="Z175" i="1"/>
  <c r="X175" i="1"/>
  <c r="U175" i="10"/>
  <c r="E175" i="10"/>
  <c r="AS174" i="1"/>
  <c r="AR174" i="1"/>
  <c r="AQ174" i="1"/>
  <c r="Z174" i="1"/>
  <c r="X174" i="1"/>
  <c r="U174" i="10"/>
  <c r="E174" i="10"/>
  <c r="U364" i="10"/>
  <c r="E364" i="10"/>
  <c r="AQ289" i="1"/>
  <c r="AS79" i="1"/>
  <c r="AR79" i="1"/>
  <c r="AQ79" i="1"/>
  <c r="Z79" i="1"/>
  <c r="X79" i="1"/>
  <c r="U79" i="10"/>
  <c r="E79" i="10"/>
  <c r="P574" i="1" l="1"/>
  <c r="AU574" i="1" s="1"/>
  <c r="P541" i="1"/>
  <c r="AU541" i="1" s="1"/>
  <c r="P165" i="10" l="1"/>
  <c r="P17" i="10" s="1"/>
  <c r="P14" i="10" s="1"/>
  <c r="AS291" i="1"/>
  <c r="AQ291" i="1"/>
  <c r="T291" i="10"/>
  <c r="AS480" i="1"/>
  <c r="AR480" i="1"/>
  <c r="AQ480" i="1"/>
  <c r="AO480" i="1"/>
  <c r="AN480" i="1"/>
  <c r="AM480" i="1"/>
  <c r="X480" i="1"/>
  <c r="AR479" i="1"/>
  <c r="Z479" i="1"/>
  <c r="X479" i="1"/>
  <c r="U480" i="10"/>
  <c r="E480" i="10"/>
  <c r="U479" i="10"/>
  <c r="E479" i="10"/>
  <c r="AS364" i="1"/>
  <c r="AT364" i="1" s="1"/>
  <c r="AR364" i="1"/>
  <c r="Z364" i="1"/>
  <c r="X364" i="1"/>
  <c r="AS342" i="1"/>
  <c r="AT342" i="1" s="1"/>
  <c r="AR342" i="1"/>
  <c r="Z342" i="1"/>
  <c r="X342" i="1"/>
  <c r="U342" i="10"/>
  <c r="E342" i="10"/>
  <c r="AR323" i="1"/>
  <c r="Z323" i="1"/>
  <c r="X323" i="1"/>
  <c r="U323" i="10"/>
  <c r="E323" i="10"/>
  <c r="AS310" i="1"/>
  <c r="AR310" i="1"/>
  <c r="R310" i="1" s="1"/>
  <c r="AW310" i="1" s="1"/>
  <c r="Z310" i="1"/>
  <c r="X310" i="1"/>
  <c r="U310" i="10"/>
  <c r="E310" i="10"/>
  <c r="AS300" i="1"/>
  <c r="AR300" i="1"/>
  <c r="R300" i="1" s="1"/>
  <c r="AW300" i="1" s="1"/>
  <c r="Z300" i="1"/>
  <c r="X300" i="1"/>
  <c r="U300" i="10"/>
  <c r="E300" i="10"/>
  <c r="AR294" i="1"/>
  <c r="Z294" i="1"/>
  <c r="X294" i="1"/>
  <c r="U294" i="10"/>
  <c r="E294" i="10"/>
  <c r="AR274" i="1"/>
  <c r="Z274" i="1"/>
  <c r="X274" i="1"/>
  <c r="U274" i="10"/>
  <c r="E274" i="10"/>
  <c r="AS173" i="1"/>
  <c r="AR173" i="1"/>
  <c r="AQ445" i="1" s="1"/>
  <c r="AQ173" i="1"/>
  <c r="Z173" i="1"/>
  <c r="X173" i="1"/>
  <c r="U173" i="10"/>
  <c r="E173" i="10"/>
  <c r="AS154" i="1"/>
  <c r="S154" i="1" s="1"/>
  <c r="AR154" i="1"/>
  <c r="AQ397" i="1" s="1"/>
  <c r="Z154" i="1"/>
  <c r="X154" i="1"/>
  <c r="U154" i="10"/>
  <c r="E154" i="10"/>
  <c r="AS97" i="1"/>
  <c r="AR97" i="1"/>
  <c r="AQ97" i="1"/>
  <c r="Z97" i="1"/>
  <c r="X97" i="1"/>
  <c r="U97" i="10"/>
  <c r="E97" i="10"/>
  <c r="AS75" i="1"/>
  <c r="AR75" i="1"/>
  <c r="Z75" i="1"/>
  <c r="X75" i="1"/>
  <c r="U75" i="10"/>
  <c r="E75" i="10"/>
  <c r="AS52" i="1"/>
  <c r="AR52" i="1"/>
  <c r="Z52" i="1"/>
  <c r="X52" i="1"/>
  <c r="U52" i="10"/>
  <c r="E52" i="10"/>
  <c r="S350" i="1" l="1"/>
  <c r="T350" i="1" s="1"/>
  <c r="N350" i="1" s="1"/>
  <c r="P278" i="1"/>
  <c r="N278" i="1" s="1"/>
  <c r="Z480" i="1"/>
  <c r="R480" i="1"/>
  <c r="AW480" i="1" s="1"/>
  <c r="R97" i="1"/>
  <c r="AP350" i="1" l="1"/>
  <c r="U350" i="1"/>
  <c r="V350" i="1"/>
  <c r="AT350" i="1"/>
  <c r="AS649" i="1"/>
  <c r="AP278" i="1"/>
  <c r="U278" i="1"/>
  <c r="V278" i="1"/>
  <c r="AS210" i="1" l="1"/>
  <c r="E677" i="10" l="1"/>
  <c r="U677" i="10"/>
  <c r="N205" i="1" l="1"/>
  <c r="N204" i="1"/>
  <c r="N203" i="1"/>
  <c r="V204" i="1" l="1"/>
  <c r="U205" i="1"/>
  <c r="E204" i="10"/>
  <c r="E205" i="10"/>
  <c r="V205" i="1" l="1"/>
  <c r="U204" i="1"/>
  <c r="E177" i="10" l="1"/>
  <c r="U177" i="10"/>
  <c r="AQ152" i="1" l="1"/>
  <c r="AS147" i="1"/>
  <c r="AS440" i="1" l="1"/>
  <c r="AQ440" i="1"/>
  <c r="AQ447" i="1"/>
  <c r="AQ446" i="1"/>
  <c r="AS447" i="1"/>
  <c r="AS446" i="1"/>
  <c r="AS426" i="1"/>
  <c r="AQ426" i="1"/>
  <c r="R27" i="10" l="1"/>
  <c r="R17" i="10" s="1"/>
  <c r="R14" i="10" s="1"/>
  <c r="E14" i="10" s="1"/>
  <c r="E203" i="10" l="1"/>
  <c r="AS203" i="1" l="1"/>
  <c r="AT203" i="1" s="1"/>
  <c r="AR203" i="1"/>
  <c r="Z203" i="1"/>
  <c r="X203" i="1"/>
  <c r="V203" i="1" l="1"/>
  <c r="U203" i="1"/>
  <c r="AS389" i="1" l="1"/>
  <c r="AR389" i="1"/>
  <c r="R389" i="1" s="1"/>
  <c r="AW389" i="1" s="1"/>
  <c r="U389" i="10"/>
  <c r="E389" i="10"/>
  <c r="E304" i="10" l="1"/>
  <c r="AS178" i="1"/>
  <c r="AR178" i="1"/>
  <c r="Z178" i="1"/>
  <c r="X178" i="1"/>
  <c r="U178" i="10"/>
  <c r="E178" i="10"/>
  <c r="AS169" i="1"/>
  <c r="AR169" i="1"/>
  <c r="Z169" i="1"/>
  <c r="X169" i="1"/>
  <c r="U169" i="10"/>
  <c r="E169" i="10"/>
  <c r="AS168" i="1"/>
  <c r="AR168" i="1"/>
  <c r="Z168" i="1"/>
  <c r="X168" i="1"/>
  <c r="U168" i="10"/>
  <c r="E168" i="10"/>
  <c r="S168" i="1" s="1"/>
  <c r="AS144" i="1"/>
  <c r="S144" i="1" s="1"/>
  <c r="AT144" i="1" s="1"/>
  <c r="AR144" i="1"/>
  <c r="AQ144" i="1"/>
  <c r="Z144" i="1"/>
  <c r="X144" i="1"/>
  <c r="AS143" i="1"/>
  <c r="AR143" i="1"/>
  <c r="AQ143" i="1"/>
  <c r="Z143" i="1"/>
  <c r="X143" i="1"/>
  <c r="AS142" i="1"/>
  <c r="AR142" i="1"/>
  <c r="AQ142" i="1"/>
  <c r="Z142" i="1"/>
  <c r="X142" i="1"/>
  <c r="AS141" i="1"/>
  <c r="S141" i="1" s="1"/>
  <c r="AT141" i="1" s="1"/>
  <c r="AR141" i="1"/>
  <c r="AQ141" i="1"/>
  <c r="Z141" i="1"/>
  <c r="X141" i="1"/>
  <c r="U144" i="10"/>
  <c r="E144" i="10"/>
  <c r="U143" i="10"/>
  <c r="E143" i="10"/>
  <c r="U142" i="10"/>
  <c r="E142" i="10"/>
  <c r="U141" i="10"/>
  <c r="E141" i="10"/>
  <c r="AS140" i="1"/>
  <c r="AR140" i="1"/>
  <c r="AQ140" i="1"/>
  <c r="Z140" i="1"/>
  <c r="X140" i="1"/>
  <c r="U140" i="10"/>
  <c r="E140" i="10"/>
  <c r="AS122" i="1"/>
  <c r="S122" i="1" s="1"/>
  <c r="AR122" i="1"/>
  <c r="Y122" i="1"/>
  <c r="E122" i="10"/>
  <c r="AS76" i="1"/>
  <c r="AR76" i="1"/>
  <c r="R76" i="1" s="1"/>
  <c r="Z76" i="1"/>
  <c r="X76" i="1"/>
  <c r="U76" i="10"/>
  <c r="E76" i="10"/>
  <c r="AS58" i="1"/>
  <c r="S58" i="1" s="1"/>
  <c r="AR58" i="1"/>
  <c r="R58" i="1" s="1"/>
  <c r="Z58" i="1"/>
  <c r="X58" i="1"/>
  <c r="U58" i="10"/>
  <c r="E58" i="10"/>
  <c r="AS60" i="1"/>
  <c r="S60" i="1" s="1"/>
  <c r="AR60" i="1"/>
  <c r="AQ60" i="1"/>
  <c r="Z60" i="1"/>
  <c r="X60" i="1"/>
  <c r="AS26" i="1"/>
  <c r="AR26" i="1"/>
  <c r="Z26" i="1"/>
  <c r="X26" i="1"/>
  <c r="U26" i="10"/>
  <c r="E26" i="10"/>
  <c r="B208" i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208" i="10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AS478" i="1"/>
  <c r="AR478" i="1"/>
  <c r="AQ478" i="1"/>
  <c r="Z478" i="1"/>
  <c r="X478" i="1"/>
  <c r="U478" i="10"/>
  <c r="E478" i="10"/>
  <c r="AS434" i="1"/>
  <c r="S434" i="1" s="1"/>
  <c r="AR434" i="1"/>
  <c r="AQ434" i="1"/>
  <c r="Z434" i="1"/>
  <c r="X434" i="1"/>
  <c r="U434" i="10"/>
  <c r="E434" i="10"/>
  <c r="AR392" i="1"/>
  <c r="Z392" i="1"/>
  <c r="X392" i="1"/>
  <c r="AR391" i="1"/>
  <c r="Z391" i="1"/>
  <c r="X391" i="1"/>
  <c r="AS390" i="1"/>
  <c r="AR390" i="1"/>
  <c r="R390" i="1" s="1"/>
  <c r="Z390" i="1"/>
  <c r="X390" i="1"/>
  <c r="U392" i="10"/>
  <c r="E392" i="10"/>
  <c r="U391" i="10"/>
  <c r="E391" i="10"/>
  <c r="U390" i="10"/>
  <c r="E390" i="10"/>
  <c r="AR387" i="1"/>
  <c r="Z387" i="1"/>
  <c r="X387" i="1"/>
  <c r="AR386" i="1"/>
  <c r="R386" i="1" s="1"/>
  <c r="AW386" i="1" s="1"/>
  <c r="Z386" i="1"/>
  <c r="X386" i="1"/>
  <c r="U387" i="10"/>
  <c r="E387" i="10"/>
  <c r="U386" i="10"/>
  <c r="E386" i="10"/>
  <c r="B349" i="1" l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AT122" i="1"/>
  <c r="AW390" i="1"/>
  <c r="AQ682" i="1"/>
  <c r="R387" i="1"/>
  <c r="AW387" i="1" s="1"/>
  <c r="AT168" i="1"/>
  <c r="AX386" i="1"/>
  <c r="AT386" i="1"/>
  <c r="AX434" i="1"/>
  <c r="AT434" i="1"/>
  <c r="R142" i="1"/>
  <c r="R140" i="1"/>
  <c r="AQ357" i="1" s="1"/>
  <c r="R144" i="1"/>
  <c r="R141" i="1"/>
  <c r="R143" i="1"/>
  <c r="R478" i="1"/>
  <c r="AW478" i="1" s="1"/>
  <c r="AR347" i="1"/>
  <c r="Z347" i="1"/>
  <c r="X347" i="1"/>
  <c r="U347" i="10"/>
  <c r="E347" i="10"/>
  <c r="AS335" i="1"/>
  <c r="AR335" i="1"/>
  <c r="R335" i="1" s="1"/>
  <c r="AW335" i="1" s="1"/>
  <c r="Z335" i="1"/>
  <c r="X335" i="1"/>
  <c r="U335" i="10"/>
  <c r="E335" i="10"/>
  <c r="AS329" i="1"/>
  <c r="AR329" i="1"/>
  <c r="R329" i="1" s="1"/>
  <c r="AW329" i="1" s="1"/>
  <c r="Z329" i="1"/>
  <c r="X329" i="1"/>
  <c r="U329" i="10"/>
  <c r="E329" i="10"/>
  <c r="AS311" i="1"/>
  <c r="AR311" i="1"/>
  <c r="R311" i="1" s="1"/>
  <c r="AW311" i="1" s="1"/>
  <c r="Z311" i="1"/>
  <c r="X311" i="1"/>
  <c r="U311" i="10"/>
  <c r="E311" i="10"/>
  <c r="AS307" i="1"/>
  <c r="AR307" i="1"/>
  <c r="R307" i="1" s="1"/>
  <c r="AW307" i="1" s="1"/>
  <c r="Z307" i="1"/>
  <c r="X307" i="1"/>
  <c r="U307" i="10"/>
  <c r="E307" i="10"/>
  <c r="AR292" i="1"/>
  <c r="Z292" i="1"/>
  <c r="X292" i="1"/>
  <c r="U292" i="10"/>
  <c r="E292" i="10"/>
  <c r="AR277" i="1"/>
  <c r="Z277" i="1"/>
  <c r="U277" i="10"/>
  <c r="E277" i="10"/>
  <c r="AS275" i="1"/>
  <c r="AR275" i="1"/>
  <c r="R275" i="1" s="1"/>
  <c r="AW275" i="1" s="1"/>
  <c r="Z275" i="1"/>
  <c r="X275" i="1"/>
  <c r="U275" i="10"/>
  <c r="E275" i="10"/>
  <c r="AS234" i="1"/>
  <c r="AR234" i="1"/>
  <c r="Z234" i="1"/>
  <c r="X234" i="1"/>
  <c r="U234" i="10"/>
  <c r="E234" i="10"/>
  <c r="AS231" i="1"/>
  <c r="AR231" i="1"/>
  <c r="Z231" i="1"/>
  <c r="X231" i="1"/>
  <c r="U231" i="10"/>
  <c r="E231" i="10"/>
  <c r="AS229" i="1"/>
  <c r="AR229" i="1"/>
  <c r="R229" i="1" s="1"/>
  <c r="AW229" i="1" s="1"/>
  <c r="Z229" i="1"/>
  <c r="X229" i="1"/>
  <c r="U229" i="10"/>
  <c r="E229" i="10"/>
  <c r="AS207" i="1"/>
  <c r="S207" i="1" s="1"/>
  <c r="AR207" i="1"/>
  <c r="R207" i="1" s="1"/>
  <c r="Z207" i="1"/>
  <c r="X207" i="1"/>
  <c r="U207" i="10"/>
  <c r="E207" i="10"/>
  <c r="AS476" i="1"/>
  <c r="AR476" i="1"/>
  <c r="AQ476" i="1"/>
  <c r="Z476" i="1"/>
  <c r="X476" i="1"/>
  <c r="AS475" i="1"/>
  <c r="AR475" i="1"/>
  <c r="AQ475" i="1"/>
  <c r="Z475" i="1"/>
  <c r="X475" i="1"/>
  <c r="U476" i="10"/>
  <c r="E476" i="10"/>
  <c r="U475" i="10"/>
  <c r="E475" i="10"/>
  <c r="AS474" i="1"/>
  <c r="AR474" i="1"/>
  <c r="Z474" i="1"/>
  <c r="X474" i="1"/>
  <c r="U474" i="10"/>
  <c r="E474" i="10"/>
  <c r="AS473" i="1"/>
  <c r="AR473" i="1"/>
  <c r="AQ473" i="1"/>
  <c r="Z473" i="1"/>
  <c r="X473" i="1"/>
  <c r="AS472" i="1"/>
  <c r="AR472" i="1"/>
  <c r="AQ472" i="1"/>
  <c r="Z472" i="1"/>
  <c r="X472" i="1"/>
  <c r="AS471" i="1"/>
  <c r="AR471" i="1"/>
  <c r="Z471" i="1"/>
  <c r="X471" i="1"/>
  <c r="U473" i="10"/>
  <c r="E473" i="10"/>
  <c r="U472" i="10"/>
  <c r="E472" i="10"/>
  <c r="U471" i="10"/>
  <c r="E471" i="10"/>
  <c r="AS470" i="1"/>
  <c r="AR470" i="1"/>
  <c r="R470" i="1" s="1"/>
  <c r="AW470" i="1" s="1"/>
  <c r="Z470" i="1"/>
  <c r="X470" i="1"/>
  <c r="U470" i="10"/>
  <c r="E470" i="10"/>
  <c r="S477" i="1" s="1"/>
  <c r="T477" i="1" s="1"/>
  <c r="N477" i="1" s="1"/>
  <c r="AS451" i="1"/>
  <c r="AR451" i="1"/>
  <c r="R451" i="1" s="1"/>
  <c r="AW451" i="1" s="1"/>
  <c r="Z451" i="1"/>
  <c r="X451" i="1"/>
  <c r="AS450" i="1"/>
  <c r="AT450" i="1" s="1"/>
  <c r="AR450" i="1"/>
  <c r="AW450" i="1" s="1"/>
  <c r="Z450" i="1"/>
  <c r="X450" i="1"/>
  <c r="U451" i="10"/>
  <c r="E451" i="10"/>
  <c r="U450" i="10"/>
  <c r="E450" i="10"/>
  <c r="AS444" i="1"/>
  <c r="AR444" i="1"/>
  <c r="R444" i="1" s="1"/>
  <c r="AW444" i="1" s="1"/>
  <c r="Z444" i="1"/>
  <c r="X444" i="1"/>
  <c r="AS439" i="1"/>
  <c r="AR439" i="1"/>
  <c r="R439" i="1" s="1"/>
  <c r="AW439" i="1" s="1"/>
  <c r="Z439" i="1"/>
  <c r="X439" i="1"/>
  <c r="U444" i="10"/>
  <c r="E444" i="10"/>
  <c r="U439" i="10"/>
  <c r="E439" i="10"/>
  <c r="AS393" i="1"/>
  <c r="AR393" i="1"/>
  <c r="R393" i="1" s="1"/>
  <c r="AW393" i="1" s="1"/>
  <c r="Z393" i="1"/>
  <c r="X393" i="1"/>
  <c r="U393" i="10"/>
  <c r="E393" i="10"/>
  <c r="AS385" i="1"/>
  <c r="S385" i="1" s="1"/>
  <c r="AR385" i="1"/>
  <c r="R385" i="1" s="1"/>
  <c r="AW385" i="1" s="1"/>
  <c r="Z385" i="1"/>
  <c r="X385" i="1"/>
  <c r="AS384" i="1"/>
  <c r="AR384" i="1"/>
  <c r="R384" i="1" s="1"/>
  <c r="AW384" i="1" s="1"/>
  <c r="Z384" i="1"/>
  <c r="X384" i="1"/>
  <c r="U385" i="10"/>
  <c r="E385" i="10"/>
  <c r="U384" i="10"/>
  <c r="E384" i="10"/>
  <c r="AS138" i="1"/>
  <c r="AR138" i="1"/>
  <c r="R138" i="1" s="1"/>
  <c r="AW138" i="1" s="1"/>
  <c r="Z138" i="1"/>
  <c r="X138" i="1"/>
  <c r="AS136" i="1"/>
  <c r="S136" i="1" s="1"/>
  <c r="AT136" i="1" s="1"/>
  <c r="AR136" i="1"/>
  <c r="AQ136" i="1"/>
  <c r="Z136" i="1"/>
  <c r="X136" i="1"/>
  <c r="U138" i="10"/>
  <c r="E138" i="10"/>
  <c r="U136" i="10"/>
  <c r="E136" i="10"/>
  <c r="AS331" i="1"/>
  <c r="AR331" i="1"/>
  <c r="R331" i="1" s="1"/>
  <c r="AW331" i="1" s="1"/>
  <c r="Z331" i="1"/>
  <c r="X331" i="1"/>
  <c r="U331" i="10"/>
  <c r="E331" i="10"/>
  <c r="AS106" i="1"/>
  <c r="AR106" i="1"/>
  <c r="AQ106" i="1"/>
  <c r="Z106" i="1"/>
  <c r="X106" i="1"/>
  <c r="U106" i="10"/>
  <c r="E106" i="10"/>
  <c r="T122" i="1" s="1"/>
  <c r="AS66" i="1"/>
  <c r="AR66" i="1"/>
  <c r="Z66" i="1"/>
  <c r="X66" i="1"/>
  <c r="U66" i="10"/>
  <c r="E66" i="10"/>
  <c r="AS270" i="1"/>
  <c r="AR270" i="1"/>
  <c r="R270" i="1" s="1"/>
  <c r="AW270" i="1" s="1"/>
  <c r="Z270" i="1"/>
  <c r="X270" i="1"/>
  <c r="U270" i="10"/>
  <c r="E270" i="10"/>
  <c r="AS266" i="1"/>
  <c r="AR266" i="1"/>
  <c r="R266" i="1" s="1"/>
  <c r="AW266" i="1" s="1"/>
  <c r="Z266" i="1"/>
  <c r="X266" i="1"/>
  <c r="U266" i="10"/>
  <c r="E266" i="10"/>
  <c r="S276" i="1" s="1"/>
  <c r="N276" i="1" s="1"/>
  <c r="AS226" i="1"/>
  <c r="AR226" i="1"/>
  <c r="R226" i="1" s="1"/>
  <c r="AW226" i="1" s="1"/>
  <c r="Z226" i="1"/>
  <c r="X226" i="1"/>
  <c r="U226" i="10"/>
  <c r="E226" i="10"/>
  <c r="AS213" i="1"/>
  <c r="AR213" i="1"/>
  <c r="R213" i="1" s="1"/>
  <c r="AW213" i="1" s="1"/>
  <c r="Z213" i="1"/>
  <c r="X213" i="1"/>
  <c r="U213" i="10"/>
  <c r="E213" i="10"/>
  <c r="U60" i="10"/>
  <c r="E60" i="10"/>
  <c r="AP276" i="1" l="1"/>
  <c r="U276" i="1"/>
  <c r="V276" i="1"/>
  <c r="AS268" i="1"/>
  <c r="AT268" i="1" s="1"/>
  <c r="S79" i="1"/>
  <c r="U477" i="1"/>
  <c r="V477" i="1"/>
  <c r="AP477" i="1"/>
  <c r="AT60" i="1"/>
  <c r="AW207" i="1"/>
  <c r="AX385" i="1"/>
  <c r="AT385" i="1"/>
  <c r="AX207" i="1"/>
  <c r="AT207" i="1"/>
  <c r="AQ493" i="1"/>
  <c r="AW292" i="1"/>
  <c r="AW277" i="1"/>
  <c r="R476" i="1"/>
  <c r="AW476" i="1" s="1"/>
  <c r="R475" i="1"/>
  <c r="AW475" i="1" s="1"/>
  <c r="R136" i="1"/>
  <c r="AS286" i="1"/>
  <c r="AR286" i="1"/>
  <c r="R286" i="1" s="1"/>
  <c r="AW286" i="1" s="1"/>
  <c r="Z286" i="1"/>
  <c r="X286" i="1"/>
  <c r="U286" i="10"/>
  <c r="E286" i="10"/>
  <c r="S295" i="1" s="1"/>
  <c r="AT79" i="1" l="1"/>
  <c r="AS289" i="1"/>
  <c r="S289" i="1" s="1"/>
  <c r="AT295" i="1"/>
  <c r="N295" i="1"/>
  <c r="X10" i="1"/>
  <c r="S286" i="1"/>
  <c r="E121" i="10"/>
  <c r="AP295" i="1" l="1"/>
  <c r="V295" i="1"/>
  <c r="U295" i="1"/>
  <c r="AX289" i="1"/>
  <c r="AT289" i="1"/>
  <c r="AX286" i="1"/>
  <c r="AT286" i="1"/>
  <c r="E20" i="10"/>
  <c r="E21" i="10"/>
  <c r="E22" i="10"/>
  <c r="E23" i="10"/>
  <c r="E24" i="10"/>
  <c r="E25" i="10"/>
  <c r="E28" i="10"/>
  <c r="E29" i="10"/>
  <c r="E30" i="10"/>
  <c r="E31" i="10"/>
  <c r="E32" i="10"/>
  <c r="E33" i="10"/>
  <c r="E34" i="10"/>
  <c r="E35" i="10"/>
  <c r="E36" i="10"/>
  <c r="R36" i="1" s="1"/>
  <c r="E37" i="10"/>
  <c r="E38" i="10"/>
  <c r="E39" i="10"/>
  <c r="E40" i="10"/>
  <c r="E235" i="10"/>
  <c r="E41" i="10"/>
  <c r="E42" i="10"/>
  <c r="E43" i="10"/>
  <c r="N43" i="1" s="1"/>
  <c r="AP43" i="1" s="1"/>
  <c r="E44" i="10"/>
  <c r="E45" i="10"/>
  <c r="E50" i="10"/>
  <c r="E51" i="10"/>
  <c r="R51" i="1" s="1"/>
  <c r="E245" i="10"/>
  <c r="R245" i="1" s="1"/>
  <c r="E53" i="10"/>
  <c r="E54" i="10"/>
  <c r="E56" i="10"/>
  <c r="S75" i="1" s="1"/>
  <c r="E57" i="10"/>
  <c r="E59" i="10"/>
  <c r="E61" i="10"/>
  <c r="E62" i="10"/>
  <c r="E63" i="10"/>
  <c r="E64" i="10"/>
  <c r="E65" i="10"/>
  <c r="E67" i="10"/>
  <c r="E68" i="10"/>
  <c r="E70" i="10"/>
  <c r="R70" i="1" s="1"/>
  <c r="E71" i="10"/>
  <c r="E72" i="10"/>
  <c r="E73" i="10"/>
  <c r="E74" i="10"/>
  <c r="E77" i="10"/>
  <c r="E80" i="10"/>
  <c r="T80" i="1" s="1"/>
  <c r="E81" i="10"/>
  <c r="S97" i="1" s="1"/>
  <c r="E82" i="10"/>
  <c r="E83" i="10"/>
  <c r="E84" i="10"/>
  <c r="E85" i="10"/>
  <c r="E86" i="10"/>
  <c r="E87" i="10"/>
  <c r="E88" i="10"/>
  <c r="E89" i="10"/>
  <c r="R89" i="1" s="1"/>
  <c r="E90" i="10"/>
  <c r="R106" i="1" s="1"/>
  <c r="AW106" i="1" s="1"/>
  <c r="E91" i="10"/>
  <c r="E92" i="10"/>
  <c r="E94" i="10"/>
  <c r="E96" i="10"/>
  <c r="E98" i="10"/>
  <c r="E99" i="10"/>
  <c r="E100" i="10"/>
  <c r="S100" i="1" s="1"/>
  <c r="E101" i="10"/>
  <c r="E102" i="10"/>
  <c r="E103" i="10"/>
  <c r="E104" i="10"/>
  <c r="E105" i="10"/>
  <c r="E107" i="10"/>
  <c r="E108" i="10"/>
  <c r="E110" i="10"/>
  <c r="E113" i="10"/>
  <c r="E114" i="10"/>
  <c r="S114" i="1" s="1"/>
  <c r="E117" i="10"/>
  <c r="E118" i="10"/>
  <c r="E119" i="10"/>
  <c r="E120" i="10"/>
  <c r="E123" i="10"/>
  <c r="E124" i="10"/>
  <c r="E125" i="10"/>
  <c r="E126" i="10"/>
  <c r="E128" i="10"/>
  <c r="E129" i="10"/>
  <c r="E132" i="10"/>
  <c r="E133" i="10"/>
  <c r="E134" i="10"/>
  <c r="E135" i="10"/>
  <c r="E137" i="10"/>
  <c r="E139" i="10"/>
  <c r="E371" i="10"/>
  <c r="E145" i="10"/>
  <c r="E146" i="10"/>
  <c r="E147" i="10"/>
  <c r="S147" i="1" s="1"/>
  <c r="E148" i="10"/>
  <c r="E149" i="10"/>
  <c r="E150" i="10"/>
  <c r="S150" i="1" s="1"/>
  <c r="E151" i="10"/>
  <c r="E153" i="10"/>
  <c r="S169" i="1" s="1"/>
  <c r="AT169" i="1" s="1"/>
  <c r="E155" i="10"/>
  <c r="S171" i="1" s="1"/>
  <c r="E156" i="10"/>
  <c r="E157" i="10"/>
  <c r="E158" i="10"/>
  <c r="E159" i="10"/>
  <c r="R175" i="1" s="1"/>
  <c r="N175" i="1" s="1"/>
  <c r="E160" i="10"/>
  <c r="S160" i="1" s="1"/>
  <c r="E161" i="10"/>
  <c r="E162" i="10"/>
  <c r="S178" i="1" s="1"/>
  <c r="AT178" i="1" s="1"/>
  <c r="E164" i="10"/>
  <c r="E165" i="10"/>
  <c r="E166" i="10"/>
  <c r="E167" i="10"/>
  <c r="E170" i="10"/>
  <c r="E172" i="10"/>
  <c r="E176" i="10"/>
  <c r="E180" i="10"/>
  <c r="E181" i="10"/>
  <c r="R181" i="1" s="1"/>
  <c r="E182" i="10"/>
  <c r="R182" i="1" s="1"/>
  <c r="E183" i="10"/>
  <c r="E184" i="10"/>
  <c r="R184" i="1" s="1"/>
  <c r="E185" i="10"/>
  <c r="R185" i="1" s="1"/>
  <c r="E186" i="10"/>
  <c r="R186" i="1" s="1"/>
  <c r="E187" i="10"/>
  <c r="R187" i="1" s="1"/>
  <c r="E188" i="10"/>
  <c r="E189" i="10"/>
  <c r="E190" i="10"/>
  <c r="E191" i="10"/>
  <c r="E193" i="10"/>
  <c r="E194" i="10"/>
  <c r="E195" i="10"/>
  <c r="E196" i="10"/>
  <c r="E197" i="10"/>
  <c r="R197" i="1" s="1"/>
  <c r="E198" i="10"/>
  <c r="E199" i="10"/>
  <c r="E200" i="10"/>
  <c r="E201" i="10"/>
  <c r="E202" i="10"/>
  <c r="E19" i="10"/>
  <c r="E18" i="10"/>
  <c r="R183" i="1" l="1"/>
  <c r="S164" i="1"/>
  <c r="R85" i="1"/>
  <c r="S165" i="1"/>
  <c r="R180" i="1"/>
  <c r="S166" i="1"/>
  <c r="R117" i="1"/>
  <c r="T207" i="1"/>
  <c r="N207" i="1" s="1"/>
  <c r="AP207" i="1" s="1"/>
  <c r="R39" i="1"/>
  <c r="T58" i="1"/>
  <c r="R49" i="1"/>
  <c r="N49" i="1" s="1"/>
  <c r="AP175" i="1"/>
  <c r="V175" i="1"/>
  <c r="U175" i="1"/>
  <c r="N97" i="1"/>
  <c r="AT97" i="1"/>
  <c r="S76" i="1"/>
  <c r="T76" i="1" s="1"/>
  <c r="R37" i="1"/>
  <c r="S158" i="1"/>
  <c r="S174" i="1"/>
  <c r="AT174" i="1" s="1"/>
  <c r="AS278" i="1"/>
  <c r="AT278" i="1" s="1"/>
  <c r="AT75" i="1"/>
  <c r="S142" i="1"/>
  <c r="AT142" i="1" s="1"/>
  <c r="S107" i="1"/>
  <c r="N41" i="1"/>
  <c r="AP41" i="1" s="1"/>
  <c r="T60" i="1"/>
  <c r="R189" i="1"/>
  <c r="AP205" i="1"/>
  <c r="AT171" i="1"/>
  <c r="AS442" i="1"/>
  <c r="AX171" i="1"/>
  <c r="N171" i="1"/>
  <c r="R188" i="1"/>
  <c r="AP204" i="1"/>
  <c r="N54" i="1"/>
  <c r="AP54" i="1" s="1"/>
  <c r="T178" i="1"/>
  <c r="N178" i="1" s="1"/>
  <c r="N33" i="1"/>
  <c r="N80" i="1"/>
  <c r="S124" i="1"/>
  <c r="P544" i="1"/>
  <c r="AU544" i="1" s="1"/>
  <c r="AP178" i="1" l="1"/>
  <c r="AP80" i="1"/>
  <c r="AY207" i="1"/>
  <c r="T142" i="1"/>
  <c r="N142" i="1" s="1"/>
  <c r="AP49" i="1"/>
  <c r="U49" i="1"/>
  <c r="V49" i="1"/>
  <c r="AP171" i="1"/>
  <c r="U171" i="1"/>
  <c r="V171" i="1"/>
  <c r="AT76" i="1"/>
  <c r="N76" i="1"/>
  <c r="AP97" i="1"/>
  <c r="U97" i="1"/>
  <c r="V97" i="1"/>
  <c r="V207" i="1"/>
  <c r="U207" i="1"/>
  <c r="V178" i="1"/>
  <c r="U178" i="1"/>
  <c r="T144" i="1"/>
  <c r="N144" i="1" s="1"/>
  <c r="T168" i="1"/>
  <c r="N168" i="1" s="1"/>
  <c r="M695" i="10"/>
  <c r="AP168" i="1" l="1"/>
  <c r="AP144" i="1"/>
  <c r="AP142" i="1"/>
  <c r="V142" i="1"/>
  <c r="U142" i="1"/>
  <c r="AP76" i="1"/>
  <c r="V76" i="1"/>
  <c r="U76" i="1"/>
  <c r="U144" i="1"/>
  <c r="V144" i="1"/>
  <c r="V168" i="1"/>
  <c r="U168" i="1"/>
  <c r="U697" i="10"/>
  <c r="E697" i="10"/>
  <c r="U54" i="10" l="1"/>
  <c r="P489" i="1" l="1"/>
  <c r="AU489" i="1" s="1"/>
  <c r="AR722" i="1" l="1"/>
  <c r="AR721" i="1"/>
  <c r="AR720" i="1"/>
  <c r="AR719" i="1"/>
  <c r="AR718" i="1"/>
  <c r="AR717" i="1"/>
  <c r="AR716" i="1"/>
  <c r="R716" i="1" s="1"/>
  <c r="AW716" i="1" s="1"/>
  <c r="AR707" i="1"/>
  <c r="AR703" i="1"/>
  <c r="AR698" i="1"/>
  <c r="AR697" i="1"/>
  <c r="AR696" i="1"/>
  <c r="AR695" i="1"/>
  <c r="AR694" i="1"/>
  <c r="AR654" i="1"/>
  <c r="AR649" i="1"/>
  <c r="AR648" i="1"/>
  <c r="AR646" i="1"/>
  <c r="R646" i="1" s="1"/>
  <c r="AW646" i="1" s="1"/>
  <c r="AR634" i="1"/>
  <c r="AR619" i="1"/>
  <c r="AR618" i="1"/>
  <c r="AR612" i="1"/>
  <c r="AR611" i="1"/>
  <c r="AR610" i="1"/>
  <c r="AR609" i="1"/>
  <c r="AR608" i="1"/>
  <c r="AR607" i="1"/>
  <c r="AR598" i="1"/>
  <c r="AR574" i="1"/>
  <c r="AR570" i="1"/>
  <c r="AR569" i="1"/>
  <c r="AR568" i="1"/>
  <c r="AR561" i="1"/>
  <c r="AR560" i="1"/>
  <c r="AR559" i="1"/>
  <c r="AR558" i="1"/>
  <c r="AR557" i="1"/>
  <c r="R557" i="1" s="1"/>
  <c r="AW557" i="1" s="1"/>
  <c r="AR556" i="1"/>
  <c r="AR553" i="1"/>
  <c r="AR551" i="1"/>
  <c r="AR547" i="1"/>
  <c r="AR543" i="1"/>
  <c r="AR540" i="1"/>
  <c r="AR539" i="1"/>
  <c r="AR528" i="1"/>
  <c r="AR526" i="1"/>
  <c r="AR525" i="1"/>
  <c r="AR524" i="1"/>
  <c r="AR523" i="1"/>
  <c r="AR521" i="1"/>
  <c r="AR520" i="1"/>
  <c r="AR518" i="1"/>
  <c r="AR517" i="1"/>
  <c r="AR516" i="1"/>
  <c r="AR514" i="1"/>
  <c r="AR513" i="1"/>
  <c r="AR512" i="1"/>
  <c r="AR510" i="1"/>
  <c r="AR503" i="1"/>
  <c r="AR500" i="1"/>
  <c r="AR496" i="1"/>
  <c r="AR486" i="1"/>
  <c r="AR484" i="1"/>
  <c r="AR483" i="1"/>
  <c r="AR482" i="1"/>
  <c r="AR443" i="1"/>
  <c r="AR435" i="1"/>
  <c r="AR432" i="1"/>
  <c r="AR431" i="1"/>
  <c r="AR430" i="1"/>
  <c r="AR429" i="1"/>
  <c r="AR428" i="1"/>
  <c r="AR427" i="1"/>
  <c r="AR426" i="1"/>
  <c r="AR425" i="1"/>
  <c r="AR424" i="1"/>
  <c r="AR420" i="1"/>
  <c r="AR419" i="1"/>
  <c r="AR399" i="1"/>
  <c r="AR397" i="1"/>
  <c r="AR396" i="1"/>
  <c r="AR395" i="1"/>
  <c r="AR394" i="1"/>
  <c r="AR112" i="1"/>
  <c r="AR280" i="1"/>
  <c r="AR279" i="1"/>
  <c r="AR261" i="1"/>
  <c r="AR259" i="1"/>
  <c r="AR258" i="1"/>
  <c r="AR257" i="1"/>
  <c r="AR253" i="1"/>
  <c r="AR252" i="1"/>
  <c r="AR243" i="1"/>
  <c r="AR238" i="1"/>
  <c r="AR236" i="1"/>
  <c r="AR233" i="1"/>
  <c r="AR230" i="1"/>
  <c r="AR228" i="1"/>
  <c r="AR225" i="1"/>
  <c r="AR224" i="1"/>
  <c r="AR221" i="1"/>
  <c r="AR167" i="1"/>
  <c r="AR165" i="1"/>
  <c r="AR164" i="1"/>
  <c r="AR160" i="1"/>
  <c r="AR159" i="1"/>
  <c r="AR157" i="1"/>
  <c r="AR156" i="1"/>
  <c r="AR155" i="1"/>
  <c r="AR133" i="1"/>
  <c r="AR128" i="1"/>
  <c r="AR123" i="1"/>
  <c r="AR113" i="1"/>
  <c r="AR87" i="1"/>
  <c r="AR74" i="1"/>
  <c r="AR73" i="1"/>
  <c r="AR72" i="1"/>
  <c r="AR68" i="1"/>
  <c r="AR67" i="1"/>
  <c r="AR54" i="1"/>
  <c r="AR53" i="1"/>
  <c r="AR43" i="1"/>
  <c r="AR41" i="1"/>
  <c r="AR235" i="1"/>
  <c r="AR40" i="1"/>
  <c r="AR39" i="1"/>
  <c r="AR38" i="1"/>
  <c r="AR37" i="1"/>
  <c r="AR36" i="1"/>
  <c r="AR35" i="1"/>
  <c r="AR31" i="1"/>
  <c r="AR30" i="1"/>
  <c r="AR29" i="1"/>
  <c r="AR28" i="1"/>
  <c r="AR753" i="1"/>
  <c r="AR752" i="1"/>
  <c r="AR751" i="1"/>
  <c r="AR750" i="1"/>
  <c r="AR749" i="1"/>
  <c r="AR748" i="1"/>
  <c r="AR747" i="1"/>
  <c r="AR746" i="1"/>
  <c r="AR745" i="1"/>
  <c r="AR744" i="1"/>
  <c r="AR743" i="1"/>
  <c r="AR742" i="1"/>
  <c r="AR741" i="1"/>
  <c r="AR740" i="1"/>
  <c r="AR733" i="1"/>
  <c r="AR732" i="1"/>
  <c r="AR731" i="1"/>
  <c r="AR730" i="1"/>
  <c r="AR729" i="1"/>
  <c r="AR728" i="1"/>
  <c r="AR727" i="1"/>
  <c r="AR726" i="1"/>
  <c r="AR725" i="1"/>
  <c r="AR724" i="1"/>
  <c r="R724" i="1" s="1"/>
  <c r="AW724" i="1" s="1"/>
  <c r="AR723" i="1"/>
  <c r="AR715" i="1"/>
  <c r="R715" i="1" s="1"/>
  <c r="AW715" i="1" s="1"/>
  <c r="AR714" i="1"/>
  <c r="R714" i="1" s="1"/>
  <c r="AW714" i="1" s="1"/>
  <c r="AR713" i="1"/>
  <c r="R713" i="1" s="1"/>
  <c r="AW713" i="1" s="1"/>
  <c r="AR712" i="1"/>
  <c r="AR711" i="1"/>
  <c r="R711" i="1" s="1"/>
  <c r="AW711" i="1" s="1"/>
  <c r="AR710" i="1"/>
  <c r="R710" i="1" s="1"/>
  <c r="AW710" i="1" s="1"/>
  <c r="AR709" i="1"/>
  <c r="AR708" i="1"/>
  <c r="AR706" i="1"/>
  <c r="AR705" i="1"/>
  <c r="AR704" i="1"/>
  <c r="AR702" i="1"/>
  <c r="AR701" i="1"/>
  <c r="AR700" i="1"/>
  <c r="AR699" i="1"/>
  <c r="AR693" i="1"/>
  <c r="AR692" i="1"/>
  <c r="AR691" i="1"/>
  <c r="AR690" i="1"/>
  <c r="AR689" i="1"/>
  <c r="AR688" i="1"/>
  <c r="AR687" i="1"/>
  <c r="AR686" i="1"/>
  <c r="AR685" i="1"/>
  <c r="R685" i="1" s="1"/>
  <c r="AW685" i="1" s="1"/>
  <c r="AR684" i="1"/>
  <c r="R684" i="1" s="1"/>
  <c r="AW684" i="1" s="1"/>
  <c r="AR683" i="1"/>
  <c r="AR682" i="1"/>
  <c r="R682" i="1" s="1"/>
  <c r="AW682" i="1" s="1"/>
  <c r="AR681" i="1"/>
  <c r="AR680" i="1"/>
  <c r="AR679" i="1"/>
  <c r="AR678" i="1"/>
  <c r="AR677" i="1"/>
  <c r="AR676" i="1"/>
  <c r="AR675" i="1"/>
  <c r="AR674" i="1"/>
  <c r="AR673" i="1"/>
  <c r="AR672" i="1"/>
  <c r="AR671" i="1"/>
  <c r="AR670" i="1"/>
  <c r="AR669" i="1"/>
  <c r="AR668" i="1"/>
  <c r="AR667" i="1"/>
  <c r="AR666" i="1"/>
  <c r="AR665" i="1"/>
  <c r="AR664" i="1"/>
  <c r="AR663" i="1"/>
  <c r="AR662" i="1"/>
  <c r="AR661" i="1"/>
  <c r="AR660" i="1"/>
  <c r="AR659" i="1"/>
  <c r="AR658" i="1"/>
  <c r="AR657" i="1"/>
  <c r="AR656" i="1"/>
  <c r="AR655" i="1"/>
  <c r="AR653" i="1"/>
  <c r="AR131" i="1"/>
  <c r="AR652" i="1"/>
  <c r="AR651" i="1"/>
  <c r="AR650" i="1"/>
  <c r="AR647" i="1"/>
  <c r="AR645" i="1"/>
  <c r="R645" i="1" s="1"/>
  <c r="AW645" i="1" s="1"/>
  <c r="AR644" i="1"/>
  <c r="R644" i="1" s="1"/>
  <c r="AW644" i="1" s="1"/>
  <c r="AR643" i="1"/>
  <c r="AR641" i="1"/>
  <c r="R641" i="1" s="1"/>
  <c r="AW641" i="1" s="1"/>
  <c r="AR640" i="1"/>
  <c r="R640" i="1" s="1"/>
  <c r="AW640" i="1" s="1"/>
  <c r="AR639" i="1"/>
  <c r="AR637" i="1"/>
  <c r="AR636" i="1"/>
  <c r="AR635" i="1"/>
  <c r="AR633" i="1"/>
  <c r="AR632" i="1"/>
  <c r="R632" i="1" s="1"/>
  <c r="AW632" i="1" s="1"/>
  <c r="AR631" i="1"/>
  <c r="AR630" i="1"/>
  <c r="AR629" i="1"/>
  <c r="AR628" i="1"/>
  <c r="R628" i="1" s="1"/>
  <c r="AW628" i="1" s="1"/>
  <c r="AR627" i="1"/>
  <c r="AR626" i="1"/>
  <c r="AR625" i="1"/>
  <c r="AR624" i="1"/>
  <c r="AR623" i="1"/>
  <c r="AR622" i="1"/>
  <c r="AR621" i="1"/>
  <c r="AR620" i="1"/>
  <c r="R620" i="1" s="1"/>
  <c r="AW620" i="1" s="1"/>
  <c r="AR617" i="1"/>
  <c r="AR616" i="1"/>
  <c r="AR615" i="1"/>
  <c r="AR614" i="1"/>
  <c r="AR613" i="1"/>
  <c r="AR606" i="1"/>
  <c r="AR605" i="1"/>
  <c r="AR604" i="1"/>
  <c r="AR603" i="1"/>
  <c r="AR602" i="1"/>
  <c r="AR601" i="1"/>
  <c r="AR600" i="1"/>
  <c r="AR599" i="1"/>
  <c r="AR597" i="1"/>
  <c r="AR596" i="1"/>
  <c r="AR595" i="1"/>
  <c r="AR594" i="1"/>
  <c r="R594" i="1" s="1"/>
  <c r="AW594" i="1" s="1"/>
  <c r="AR592" i="1"/>
  <c r="AR591" i="1"/>
  <c r="AR590" i="1"/>
  <c r="R590" i="1" s="1"/>
  <c r="AR589" i="1"/>
  <c r="AR588" i="1"/>
  <c r="AR587" i="1"/>
  <c r="AR586" i="1"/>
  <c r="AR585" i="1"/>
  <c r="AR584" i="1"/>
  <c r="AR583" i="1"/>
  <c r="AR582" i="1"/>
  <c r="AR581" i="1"/>
  <c r="AR580" i="1"/>
  <c r="AR579" i="1"/>
  <c r="AR578" i="1"/>
  <c r="AR577" i="1"/>
  <c r="AR576" i="1"/>
  <c r="AR575" i="1"/>
  <c r="AR573" i="1"/>
  <c r="AR572" i="1"/>
  <c r="AR571" i="1"/>
  <c r="AR567" i="1"/>
  <c r="AR566" i="1"/>
  <c r="AR565" i="1"/>
  <c r="AR564" i="1"/>
  <c r="AR563" i="1"/>
  <c r="AR562" i="1"/>
  <c r="AR555" i="1"/>
  <c r="AR554" i="1"/>
  <c r="AR552" i="1"/>
  <c r="AR550" i="1"/>
  <c r="AR549" i="1"/>
  <c r="AR548" i="1"/>
  <c r="AR546" i="1"/>
  <c r="AR545" i="1"/>
  <c r="AR544" i="1"/>
  <c r="AR542" i="1"/>
  <c r="AR541" i="1"/>
  <c r="AR537" i="1"/>
  <c r="AR536" i="1"/>
  <c r="AR535" i="1"/>
  <c r="AR533" i="1"/>
  <c r="AR532" i="1"/>
  <c r="AR531" i="1"/>
  <c r="AR530" i="1"/>
  <c r="AR529" i="1"/>
  <c r="AR527" i="1"/>
  <c r="R527" i="1" s="1"/>
  <c r="AW527" i="1" s="1"/>
  <c r="AR522" i="1"/>
  <c r="AR519" i="1"/>
  <c r="AR515" i="1"/>
  <c r="AR511" i="1"/>
  <c r="AR509" i="1"/>
  <c r="AR508" i="1"/>
  <c r="AR507" i="1"/>
  <c r="AR506" i="1"/>
  <c r="AR505" i="1"/>
  <c r="AR497" i="1"/>
  <c r="AR494" i="1"/>
  <c r="AR493" i="1"/>
  <c r="AR492" i="1"/>
  <c r="AR491" i="1"/>
  <c r="AR490" i="1"/>
  <c r="AR489" i="1"/>
  <c r="AR488" i="1"/>
  <c r="AR487" i="1"/>
  <c r="AR485" i="1"/>
  <c r="AR192" i="1"/>
  <c r="AR468" i="1"/>
  <c r="AR179" i="1"/>
  <c r="AR461" i="1"/>
  <c r="AR460" i="1"/>
  <c r="AR177" i="1"/>
  <c r="AR459" i="1"/>
  <c r="AR458" i="1"/>
  <c r="AR457" i="1"/>
  <c r="AR456" i="1"/>
  <c r="AR455" i="1"/>
  <c r="AR454" i="1"/>
  <c r="AR453" i="1"/>
  <c r="AR452" i="1"/>
  <c r="AR449" i="1"/>
  <c r="AR448" i="1"/>
  <c r="AR447" i="1"/>
  <c r="R447" i="1" s="1"/>
  <c r="AW447" i="1" s="1"/>
  <c r="AR446" i="1"/>
  <c r="R446" i="1" s="1"/>
  <c r="AW446" i="1" s="1"/>
  <c r="AR445" i="1"/>
  <c r="R445" i="1" s="1"/>
  <c r="AW445" i="1" s="1"/>
  <c r="AR442" i="1"/>
  <c r="AR441" i="1"/>
  <c r="AR440" i="1"/>
  <c r="R440" i="1" s="1"/>
  <c r="AW440" i="1" s="1"/>
  <c r="AR438" i="1"/>
  <c r="R438" i="1" s="1"/>
  <c r="AW438" i="1" s="1"/>
  <c r="AR437" i="1"/>
  <c r="AR436" i="1"/>
  <c r="AR433" i="1"/>
  <c r="AR423" i="1"/>
  <c r="AR422" i="1"/>
  <c r="AR421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8" i="1"/>
  <c r="AR381" i="1"/>
  <c r="AR379" i="1"/>
  <c r="AR378" i="1"/>
  <c r="AR377" i="1"/>
  <c r="AR376" i="1"/>
  <c r="AR375" i="1"/>
  <c r="AR374" i="1"/>
  <c r="AR373" i="1"/>
  <c r="AR372" i="1"/>
  <c r="AR370" i="1"/>
  <c r="AR369" i="1"/>
  <c r="AR368" i="1"/>
  <c r="AR367" i="1"/>
  <c r="AR366" i="1"/>
  <c r="AR363" i="1"/>
  <c r="AR362" i="1"/>
  <c r="AR361" i="1"/>
  <c r="AR360" i="1"/>
  <c r="AR359" i="1"/>
  <c r="AR358" i="1"/>
  <c r="AR357" i="1"/>
  <c r="AR355" i="1"/>
  <c r="AR356" i="1"/>
  <c r="AR353" i="1"/>
  <c r="AR352" i="1"/>
  <c r="AR351" i="1"/>
  <c r="AR346" i="1"/>
  <c r="AR130" i="1"/>
  <c r="AR345" i="1"/>
  <c r="AR344" i="1"/>
  <c r="AR343" i="1"/>
  <c r="AR341" i="1"/>
  <c r="R341" i="1" s="1"/>
  <c r="AW341" i="1" s="1"/>
  <c r="AR340" i="1"/>
  <c r="AR339" i="1"/>
  <c r="AR337" i="1"/>
  <c r="AR336" i="1"/>
  <c r="AR334" i="1"/>
  <c r="AR333" i="1"/>
  <c r="AR332" i="1"/>
  <c r="AR330" i="1"/>
  <c r="AR328" i="1"/>
  <c r="AR327" i="1"/>
  <c r="AR326" i="1"/>
  <c r="AR116" i="1"/>
  <c r="AR115" i="1"/>
  <c r="AR325" i="1"/>
  <c r="AR322" i="1"/>
  <c r="AR321" i="1"/>
  <c r="AR109" i="1"/>
  <c r="AR320" i="1"/>
  <c r="AR319" i="1"/>
  <c r="AR318" i="1"/>
  <c r="AR317" i="1"/>
  <c r="AR316" i="1"/>
  <c r="AR315" i="1"/>
  <c r="AR314" i="1"/>
  <c r="AR313" i="1"/>
  <c r="AR312" i="1"/>
  <c r="AR308" i="1"/>
  <c r="AR309" i="1"/>
  <c r="AR304" i="1"/>
  <c r="AR303" i="1"/>
  <c r="AR302" i="1"/>
  <c r="AR301" i="1"/>
  <c r="AR299" i="1"/>
  <c r="AR298" i="1"/>
  <c r="AR95" i="1"/>
  <c r="AR293" i="1"/>
  <c r="AR291" i="1"/>
  <c r="AR290" i="1"/>
  <c r="AR289" i="1"/>
  <c r="R289" i="1" s="1"/>
  <c r="AR288" i="1"/>
  <c r="AR285" i="1"/>
  <c r="AR284" i="1"/>
  <c r="AR283" i="1"/>
  <c r="AR282" i="1"/>
  <c r="AR281" i="1"/>
  <c r="AR78" i="1"/>
  <c r="AR272" i="1"/>
  <c r="AR69" i="1"/>
  <c r="AR269" i="1"/>
  <c r="AR267" i="1"/>
  <c r="R267" i="1" s="1"/>
  <c r="AW267" i="1" s="1"/>
  <c r="AR55" i="1"/>
  <c r="AR265" i="1"/>
  <c r="AR264" i="1"/>
  <c r="AR263" i="1"/>
  <c r="AR262" i="1"/>
  <c r="AR27" i="1"/>
  <c r="AR256" i="1"/>
  <c r="R256" i="1" s="1"/>
  <c r="AW256" i="1" s="1"/>
  <c r="AR255" i="1"/>
  <c r="AR251" i="1"/>
  <c r="AR248" i="1"/>
  <c r="AR247" i="1"/>
  <c r="AR246" i="1"/>
  <c r="AR244" i="1"/>
  <c r="R244" i="1" s="1"/>
  <c r="AW244" i="1" s="1"/>
  <c r="AR241" i="1"/>
  <c r="AR240" i="1"/>
  <c r="AR239" i="1"/>
  <c r="AR227" i="1"/>
  <c r="AR223" i="1"/>
  <c r="AR222" i="1"/>
  <c r="AR220" i="1"/>
  <c r="AR219" i="1"/>
  <c r="AR218" i="1"/>
  <c r="AR217" i="1"/>
  <c r="AR216" i="1"/>
  <c r="AR215" i="1"/>
  <c r="AR214" i="1"/>
  <c r="AR212" i="1"/>
  <c r="AR211" i="1"/>
  <c r="R211" i="1" s="1"/>
  <c r="AW211" i="1" s="1"/>
  <c r="AR210" i="1"/>
  <c r="R210" i="1" s="1"/>
  <c r="AR209" i="1"/>
  <c r="R209" i="1" s="1"/>
  <c r="AW209" i="1" s="1"/>
  <c r="AR208" i="1"/>
  <c r="AR202" i="1"/>
  <c r="AR201" i="1"/>
  <c r="AR200" i="1"/>
  <c r="AR199" i="1"/>
  <c r="AR198" i="1"/>
  <c r="AR197" i="1"/>
  <c r="AR196" i="1"/>
  <c r="AR195" i="1"/>
  <c r="AR194" i="1"/>
  <c r="AR193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6" i="1"/>
  <c r="AR172" i="1"/>
  <c r="AR170" i="1"/>
  <c r="AR166" i="1"/>
  <c r="AR162" i="1"/>
  <c r="AR161" i="1"/>
  <c r="AR158" i="1"/>
  <c r="AR153" i="1"/>
  <c r="AR152" i="1"/>
  <c r="AR151" i="1"/>
  <c r="AR150" i="1"/>
  <c r="AR149" i="1"/>
  <c r="AR148" i="1"/>
  <c r="AR147" i="1"/>
  <c r="AR146" i="1"/>
  <c r="AR145" i="1"/>
  <c r="AR371" i="1"/>
  <c r="AR139" i="1"/>
  <c r="AR137" i="1"/>
  <c r="AR135" i="1"/>
  <c r="AR134" i="1"/>
  <c r="AR132" i="1"/>
  <c r="AR129" i="1"/>
  <c r="AR126" i="1"/>
  <c r="AR125" i="1"/>
  <c r="AR124" i="1"/>
  <c r="AR121" i="1"/>
  <c r="AR120" i="1"/>
  <c r="AR119" i="1"/>
  <c r="AR118" i="1"/>
  <c r="AR117" i="1"/>
  <c r="AR114" i="1"/>
  <c r="AR110" i="1"/>
  <c r="AR108" i="1"/>
  <c r="R108" i="1" s="1"/>
  <c r="S108" i="1" s="1"/>
  <c r="AR107" i="1"/>
  <c r="AR105" i="1"/>
  <c r="R105" i="1" s="1"/>
  <c r="AR104" i="1"/>
  <c r="AR103" i="1"/>
  <c r="AR102" i="1"/>
  <c r="AR101" i="1"/>
  <c r="AR100" i="1"/>
  <c r="AR99" i="1"/>
  <c r="AR98" i="1"/>
  <c r="AR96" i="1"/>
  <c r="AR94" i="1"/>
  <c r="AR93" i="1"/>
  <c r="AR92" i="1"/>
  <c r="AR91" i="1"/>
  <c r="AR90" i="1"/>
  <c r="AR89" i="1"/>
  <c r="AR88" i="1"/>
  <c r="AR86" i="1"/>
  <c r="AR85" i="1"/>
  <c r="AR84" i="1"/>
  <c r="AR83" i="1"/>
  <c r="AR82" i="1"/>
  <c r="AR81" i="1"/>
  <c r="AR80" i="1"/>
  <c r="AR77" i="1"/>
  <c r="AR71" i="1"/>
  <c r="AR70" i="1"/>
  <c r="AR65" i="1"/>
  <c r="AR64" i="1"/>
  <c r="AR63" i="1"/>
  <c r="AR62" i="1"/>
  <c r="R62" i="1" s="1"/>
  <c r="AR61" i="1"/>
  <c r="AR59" i="1"/>
  <c r="AR57" i="1"/>
  <c r="AR56" i="1"/>
  <c r="AR245" i="1"/>
  <c r="AR51" i="1"/>
  <c r="AR50" i="1"/>
  <c r="AR48" i="1"/>
  <c r="AR47" i="1"/>
  <c r="AR46" i="1"/>
  <c r="R46" i="1" s="1"/>
  <c r="AR45" i="1"/>
  <c r="AR44" i="1"/>
  <c r="AR42" i="1"/>
  <c r="AR34" i="1"/>
  <c r="R34" i="1" s="1"/>
  <c r="AR33" i="1"/>
  <c r="AR32" i="1"/>
  <c r="R32" i="1" s="1"/>
  <c r="AR25" i="1"/>
  <c r="AR24" i="1"/>
  <c r="AR23" i="1"/>
  <c r="AR22" i="1"/>
  <c r="AR21" i="1"/>
  <c r="AR20" i="1"/>
  <c r="AR19" i="1"/>
  <c r="AR18" i="1"/>
  <c r="AR738" i="1"/>
  <c r="R738" i="1" s="1"/>
  <c r="AW738" i="1" s="1"/>
  <c r="AR737" i="1"/>
  <c r="R737" i="1" s="1"/>
  <c r="AW737" i="1" s="1"/>
  <c r="AR736" i="1"/>
  <c r="R736" i="1" s="1"/>
  <c r="AW736" i="1" s="1"/>
  <c r="AR735" i="1"/>
  <c r="R735" i="1" s="1"/>
  <c r="AW735" i="1" s="1"/>
  <c r="AR734" i="1"/>
  <c r="R734" i="1" s="1"/>
  <c r="AW734" i="1" s="1"/>
  <c r="AR469" i="1"/>
  <c r="AR467" i="1"/>
  <c r="AR466" i="1"/>
  <c r="AR465" i="1"/>
  <c r="AR464" i="1"/>
  <c r="AR463" i="1"/>
  <c r="AR462" i="1"/>
  <c r="AW590" i="1" l="1"/>
  <c r="AQ232" i="1"/>
  <c r="AS232" i="1"/>
  <c r="S229" i="1"/>
  <c r="N229" i="1" s="1"/>
  <c r="AW210" i="1"/>
  <c r="AW289" i="1"/>
  <c r="AQ590" i="1"/>
  <c r="T180" i="1"/>
  <c r="AS752" i="1"/>
  <c r="AS751" i="1"/>
  <c r="AS750" i="1"/>
  <c r="AS679" i="1"/>
  <c r="AQ679" i="1"/>
  <c r="AS150" i="1"/>
  <c r="AT150" i="1" s="1"/>
  <c r="AQ148" i="1"/>
  <c r="AQ149" i="1"/>
  <c r="AS362" i="1"/>
  <c r="AQ362" i="1"/>
  <c r="AS361" i="1"/>
  <c r="AQ361" i="1"/>
  <c r="AS360" i="1"/>
  <c r="AQ360" i="1"/>
  <c r="AS359" i="1"/>
  <c r="AQ359" i="1"/>
  <c r="AS358" i="1"/>
  <c r="AQ358" i="1"/>
  <c r="AS664" i="1"/>
  <c r="AQ664" i="1"/>
  <c r="AS670" i="1"/>
  <c r="AQ670" i="1"/>
  <c r="AS669" i="1"/>
  <c r="AQ669" i="1"/>
  <c r="AS668" i="1"/>
  <c r="AQ668" i="1"/>
  <c r="AS663" i="1"/>
  <c r="AQ663" i="1"/>
  <c r="AS662" i="1"/>
  <c r="AQ662" i="1"/>
  <c r="AQ139" i="1"/>
  <c r="AQ652" i="1"/>
  <c r="AQ650" i="1"/>
  <c r="AQ346" i="1"/>
  <c r="AS133" i="1"/>
  <c r="AQ133" i="1"/>
  <c r="AS132" i="1"/>
  <c r="AS128" i="1"/>
  <c r="AQ128" i="1"/>
  <c r="AS333" i="1"/>
  <c r="AQ333" i="1"/>
  <c r="AQ624" i="1"/>
  <c r="AQ617" i="1"/>
  <c r="AS608" i="1"/>
  <c r="AQ608" i="1"/>
  <c r="AS607" i="1"/>
  <c r="AQ607" i="1"/>
  <c r="AS88" i="1"/>
  <c r="AQ88" i="1"/>
  <c r="AS585" i="1"/>
  <c r="AQ585" i="1"/>
  <c r="AS582" i="1"/>
  <c r="AQ582" i="1"/>
  <c r="AS281" i="1"/>
  <c r="AQ281" i="1"/>
  <c r="AS285" i="1"/>
  <c r="S285" i="1" s="1"/>
  <c r="AQ285" i="1"/>
  <c r="AS74" i="1"/>
  <c r="AQ74" i="1"/>
  <c r="R74" i="1" s="1"/>
  <c r="AQ64" i="1"/>
  <c r="AS64" i="1"/>
  <c r="AT64" i="1" s="1"/>
  <c r="AQ567" i="1"/>
  <c r="AS565" i="1"/>
  <c r="AQ565" i="1"/>
  <c r="AS241" i="1"/>
  <c r="AQ241" i="1"/>
  <c r="AS536" i="1"/>
  <c r="S536" i="1" s="1"/>
  <c r="AQ536" i="1"/>
  <c r="AS531" i="1"/>
  <c r="AQ531" i="1"/>
  <c r="AS529" i="1"/>
  <c r="AQ529" i="1"/>
  <c r="AS261" i="1"/>
  <c r="AQ261" i="1"/>
  <c r="AS42" i="1"/>
  <c r="AQ42" i="1"/>
  <c r="T37" i="1" l="1"/>
  <c r="AP229" i="1"/>
  <c r="V229" i="1"/>
  <c r="AT229" i="1"/>
  <c r="AX229" i="1"/>
  <c r="AX536" i="1"/>
  <c r="AT536" i="1"/>
  <c r="AS674" i="1"/>
  <c r="AX285" i="1"/>
  <c r="AT285" i="1"/>
  <c r="U229" i="1"/>
  <c r="N180" i="1"/>
  <c r="S528" i="1"/>
  <c r="AS526" i="1"/>
  <c r="AQ526" i="1"/>
  <c r="AS524" i="1"/>
  <c r="AQ524" i="1"/>
  <c r="AS259" i="1"/>
  <c r="AQ259" i="1"/>
  <c r="AS238" i="1"/>
  <c r="AQ238" i="1"/>
  <c r="AQ540" i="1"/>
  <c r="AP180" i="1" l="1"/>
  <c r="AX528" i="1"/>
  <c r="AT528" i="1"/>
  <c r="AS540" i="1"/>
  <c r="AS508" i="1" l="1"/>
  <c r="AQ508" i="1"/>
  <c r="AS506" i="1"/>
  <c r="S506" i="1" s="1"/>
  <c r="AQ506" i="1"/>
  <c r="AQ227" i="1"/>
  <c r="AS30" i="1"/>
  <c r="AQ31" i="1"/>
  <c r="AS222" i="1"/>
  <c r="AQ28" i="1"/>
  <c r="AQ489" i="1"/>
  <c r="AS486" i="1"/>
  <c r="AQ486" i="1"/>
  <c r="AS484" i="1"/>
  <c r="AQ484" i="1"/>
  <c r="AS483" i="1"/>
  <c r="AQ483" i="1"/>
  <c r="AS740" i="1"/>
  <c r="AQ740" i="1"/>
  <c r="AQ197" i="1"/>
  <c r="AS197" i="1"/>
  <c r="AT197" i="1" s="1"/>
  <c r="AS196" i="1"/>
  <c r="AQ196" i="1"/>
  <c r="AS745" i="1"/>
  <c r="AQ745" i="1"/>
  <c r="AS744" i="1"/>
  <c r="AQ744" i="1"/>
  <c r="AS194" i="1"/>
  <c r="AQ194" i="1"/>
  <c r="AQ741" i="1"/>
  <c r="AS732" i="1"/>
  <c r="AQ732" i="1"/>
  <c r="AS177" i="1"/>
  <c r="AT177" i="1" s="1"/>
  <c r="AQ177" i="1"/>
  <c r="AS458" i="1"/>
  <c r="AQ458" i="1"/>
  <c r="AS459" i="1"/>
  <c r="AQ459" i="1"/>
  <c r="AS167" i="1"/>
  <c r="AQ167" i="1"/>
  <c r="AS427" i="1"/>
  <c r="AS164" i="1"/>
  <c r="AT164" i="1" s="1"/>
  <c r="AQ164" i="1"/>
  <c r="AS371" i="1"/>
  <c r="AQ371" i="1"/>
  <c r="AQ130" i="1"/>
  <c r="AS130" i="1"/>
  <c r="AS343" i="1"/>
  <c r="AQ343" i="1"/>
  <c r="AQ319" i="1"/>
  <c r="AQ318" i="1"/>
  <c r="AQ320" i="1"/>
  <c r="AQ625" i="1"/>
  <c r="AQ622" i="1"/>
  <c r="AQ621" i="1"/>
  <c r="AS303" i="1"/>
  <c r="AQ303" i="1"/>
  <c r="AQ304" i="1"/>
  <c r="AQ302" i="1"/>
  <c r="AQ99" i="1"/>
  <c r="AX506" i="1" l="1"/>
  <c r="AT506" i="1"/>
  <c r="AS299" i="1"/>
  <c r="AQ299" i="1"/>
  <c r="AS95" i="1"/>
  <c r="AT95" i="1" s="1"/>
  <c r="AQ95" i="1"/>
  <c r="AQ742" i="1" l="1"/>
  <c r="AS742" i="1"/>
  <c r="AS741" i="1"/>
  <c r="AS225" i="1" l="1"/>
  <c r="AS31" i="1"/>
  <c r="AT31" i="1" s="1"/>
  <c r="AQ86" i="1" l="1"/>
  <c r="AS85" i="1"/>
  <c r="AT85" i="1" s="1"/>
  <c r="AQ85" i="1"/>
  <c r="AQ290" i="1"/>
  <c r="AS584" i="1"/>
  <c r="AQ584" i="1"/>
  <c r="AS282" i="1"/>
  <c r="AQ282" i="1"/>
  <c r="AQ78" i="1"/>
  <c r="AQ258" i="1"/>
  <c r="AS28" i="1"/>
  <c r="AS27" i="1"/>
  <c r="AQ27" i="1"/>
  <c r="AS236" i="1" l="1"/>
  <c r="AQ236" i="1"/>
  <c r="AS230" i="1"/>
  <c r="AS224" i="1"/>
  <c r="AQ222" i="1"/>
  <c r="AQ199" i="1"/>
  <c r="AS199" i="1"/>
  <c r="AS743" i="1"/>
  <c r="AQ743" i="1"/>
  <c r="AQ193" i="1"/>
  <c r="AS452" i="1"/>
  <c r="AQ452" i="1"/>
  <c r="AS448" i="1"/>
  <c r="AQ449" i="1"/>
  <c r="AQ448" i="1"/>
  <c r="AS449" i="1"/>
  <c r="AS725" i="1"/>
  <c r="S725" i="1" s="1"/>
  <c r="AQ725" i="1"/>
  <c r="AS165" i="1"/>
  <c r="AT165" i="1" s="1"/>
  <c r="AQ165" i="1"/>
  <c r="AS159" i="1"/>
  <c r="AT159" i="1" s="1"/>
  <c r="AS693" i="1"/>
  <c r="S693" i="1" s="1"/>
  <c r="AQ693" i="1"/>
  <c r="AS153" i="1"/>
  <c r="AS428" i="1" s="1"/>
  <c r="AQ153" i="1"/>
  <c r="AS146" i="1"/>
  <c r="AS139" i="1"/>
  <c r="AQ132" i="1"/>
  <c r="R132" i="1" s="1"/>
  <c r="AS336" i="1"/>
  <c r="AQ336" i="1"/>
  <c r="AS105" i="1"/>
  <c r="AS104" i="1"/>
  <c r="AS99" i="1"/>
  <c r="AS98" i="1"/>
  <c r="AS96" i="1"/>
  <c r="AS93" i="1"/>
  <c r="AQ93" i="1"/>
  <c r="AS81" i="1"/>
  <c r="AS80" i="1"/>
  <c r="AT80" i="1" s="1"/>
  <c r="AS73" i="1"/>
  <c r="AS72" i="1"/>
  <c r="AS63" i="1"/>
  <c r="AS253" i="1"/>
  <c r="AS240" i="1"/>
  <c r="AQ347" i="1" l="1"/>
  <c r="R347" i="1" s="1"/>
  <c r="AW347" i="1" s="1"/>
  <c r="AX693" i="1"/>
  <c r="AT693" i="1"/>
  <c r="AX725" i="1"/>
  <c r="AT725" i="1"/>
  <c r="R57" i="1"/>
  <c r="S77" i="1" l="1"/>
  <c r="S296" i="1" l="1"/>
  <c r="S297" i="1"/>
  <c r="AX296" i="1" l="1"/>
  <c r="AT296" i="1"/>
  <c r="AX297" i="1"/>
  <c r="AT297" i="1"/>
  <c r="S106" i="1"/>
  <c r="AS469" i="1"/>
  <c r="S469" i="1" s="1"/>
  <c r="AS739" i="1" s="1"/>
  <c r="R469" i="1"/>
  <c r="AS467" i="1"/>
  <c r="S467" i="1" s="1"/>
  <c r="R467" i="1"/>
  <c r="AW467" i="1" s="1"/>
  <c r="AS466" i="1"/>
  <c r="S466" i="1" s="1"/>
  <c r="R466" i="1"/>
  <c r="AW466" i="1" s="1"/>
  <c r="AS465" i="1"/>
  <c r="S465" i="1" s="1"/>
  <c r="R465" i="1"/>
  <c r="AW465" i="1" s="1"/>
  <c r="AS464" i="1"/>
  <c r="S464" i="1" s="1"/>
  <c r="R464" i="1"/>
  <c r="AW464" i="1" s="1"/>
  <c r="AS463" i="1"/>
  <c r="S463" i="1" s="1"/>
  <c r="R463" i="1"/>
  <c r="AW463" i="1" s="1"/>
  <c r="AS462" i="1"/>
  <c r="S462" i="1" s="1"/>
  <c r="R462" i="1"/>
  <c r="AW462" i="1" s="1"/>
  <c r="AS722" i="1"/>
  <c r="R722" i="1"/>
  <c r="AW722" i="1" s="1"/>
  <c r="AS720" i="1"/>
  <c r="R720" i="1"/>
  <c r="AW720" i="1" s="1"/>
  <c r="AS719" i="1"/>
  <c r="R719" i="1"/>
  <c r="AW719" i="1" s="1"/>
  <c r="AS718" i="1"/>
  <c r="R718" i="1"/>
  <c r="AW718" i="1" s="1"/>
  <c r="AS717" i="1"/>
  <c r="S717" i="1" s="1"/>
  <c r="R717" i="1"/>
  <c r="AW717" i="1" s="1"/>
  <c r="AS707" i="1"/>
  <c r="S707" i="1" s="1"/>
  <c r="R707" i="1"/>
  <c r="AW707" i="1" s="1"/>
  <c r="AS703" i="1"/>
  <c r="R703" i="1"/>
  <c r="AW703" i="1" s="1"/>
  <c r="AS698" i="1"/>
  <c r="R698" i="1"/>
  <c r="AW698" i="1" s="1"/>
  <c r="AS697" i="1"/>
  <c r="S697" i="1" s="1"/>
  <c r="R697" i="1"/>
  <c r="AW697" i="1" s="1"/>
  <c r="AS695" i="1"/>
  <c r="R695" i="1"/>
  <c r="AW695" i="1" s="1"/>
  <c r="AS646" i="1"/>
  <c r="AS634" i="1"/>
  <c r="AT634" i="1" s="1"/>
  <c r="AS619" i="1"/>
  <c r="R619" i="1"/>
  <c r="AW619" i="1" s="1"/>
  <c r="AS618" i="1"/>
  <c r="AT618" i="1" s="1"/>
  <c r="AS612" i="1"/>
  <c r="AS611" i="1"/>
  <c r="AS610" i="1"/>
  <c r="AS609" i="1"/>
  <c r="R609" i="1"/>
  <c r="AW609" i="1" s="1"/>
  <c r="R608" i="1"/>
  <c r="AW608" i="1" s="1"/>
  <c r="R607" i="1"/>
  <c r="AW607" i="1" s="1"/>
  <c r="AS598" i="1"/>
  <c r="R598" i="1"/>
  <c r="AW598" i="1" s="1"/>
  <c r="AS570" i="1"/>
  <c r="R570" i="1"/>
  <c r="AW570" i="1" s="1"/>
  <c r="AS569" i="1"/>
  <c r="R569" i="1"/>
  <c r="AW569" i="1" s="1"/>
  <c r="AS568" i="1"/>
  <c r="R568" i="1"/>
  <c r="AW568" i="1" s="1"/>
  <c r="AS561" i="1"/>
  <c r="AT561" i="1" s="1"/>
  <c r="AS560" i="1"/>
  <c r="AT560" i="1" s="1"/>
  <c r="AS559" i="1"/>
  <c r="R559" i="1"/>
  <c r="AW559" i="1" s="1"/>
  <c r="AS558" i="1"/>
  <c r="AT558" i="1" s="1"/>
  <c r="AS556" i="1"/>
  <c r="R556" i="1"/>
  <c r="AW556" i="1" s="1"/>
  <c r="AS553" i="1"/>
  <c r="S553" i="1" s="1"/>
  <c r="R553" i="1"/>
  <c r="AW553" i="1" s="1"/>
  <c r="AS551" i="1"/>
  <c r="S551" i="1" s="1"/>
  <c r="R551" i="1"/>
  <c r="AW551" i="1" s="1"/>
  <c r="AS543" i="1"/>
  <c r="R543" i="1"/>
  <c r="AW543" i="1" s="1"/>
  <c r="R540" i="1"/>
  <c r="AW540" i="1" s="1"/>
  <c r="AS539" i="1"/>
  <c r="R539" i="1"/>
  <c r="AW539" i="1" s="1"/>
  <c r="R526" i="1"/>
  <c r="AW526" i="1" s="1"/>
  <c r="R524" i="1"/>
  <c r="AW524" i="1" s="1"/>
  <c r="AS523" i="1"/>
  <c r="AT523" i="1" s="1"/>
  <c r="AS521" i="1"/>
  <c r="R521" i="1"/>
  <c r="AW521" i="1" s="1"/>
  <c r="AS520" i="1"/>
  <c r="R520" i="1"/>
  <c r="AW520" i="1" s="1"/>
  <c r="AS517" i="1"/>
  <c r="AT517" i="1" s="1"/>
  <c r="AS516" i="1"/>
  <c r="AT516" i="1" s="1"/>
  <c r="AS514" i="1"/>
  <c r="R514" i="1"/>
  <c r="AW514" i="1" s="1"/>
  <c r="AS513" i="1"/>
  <c r="R513" i="1"/>
  <c r="AW513" i="1" s="1"/>
  <c r="AS512" i="1"/>
  <c r="R512" i="1"/>
  <c r="AW512" i="1" s="1"/>
  <c r="AS510" i="1"/>
  <c r="R510" i="1"/>
  <c r="AW510" i="1" s="1"/>
  <c r="AS503" i="1"/>
  <c r="R503" i="1"/>
  <c r="AW503" i="1" s="1"/>
  <c r="AS500" i="1"/>
  <c r="R500" i="1"/>
  <c r="AW500" i="1" s="1"/>
  <c r="R486" i="1"/>
  <c r="AW486" i="1" s="1"/>
  <c r="R484" i="1"/>
  <c r="AW484" i="1" s="1"/>
  <c r="R483" i="1"/>
  <c r="AW483" i="1" s="1"/>
  <c r="AS482" i="1"/>
  <c r="R482" i="1"/>
  <c r="AW482" i="1" s="1"/>
  <c r="AS443" i="1"/>
  <c r="S443" i="1" s="1"/>
  <c r="R443" i="1"/>
  <c r="AW443" i="1" s="1"/>
  <c r="AS435" i="1"/>
  <c r="R435" i="1"/>
  <c r="AW435" i="1" s="1"/>
  <c r="AS432" i="1"/>
  <c r="R432" i="1"/>
  <c r="AW432" i="1" s="1"/>
  <c r="AS431" i="1"/>
  <c r="R431" i="1"/>
  <c r="AW431" i="1" s="1"/>
  <c r="AS430" i="1"/>
  <c r="R430" i="1"/>
  <c r="AW430" i="1" s="1"/>
  <c r="AS429" i="1"/>
  <c r="S429" i="1" s="1"/>
  <c r="R429" i="1"/>
  <c r="AW429" i="1" s="1"/>
  <c r="S428" i="1"/>
  <c r="AS425" i="1"/>
  <c r="R425" i="1"/>
  <c r="AW425" i="1" s="1"/>
  <c r="AS420" i="1"/>
  <c r="S420" i="1" s="1"/>
  <c r="R420" i="1"/>
  <c r="AW420" i="1" s="1"/>
  <c r="AS419" i="1"/>
  <c r="S419" i="1" s="1"/>
  <c r="R419" i="1"/>
  <c r="AW419" i="1" s="1"/>
  <c r="AS399" i="1"/>
  <c r="R399" i="1"/>
  <c r="AW399" i="1" s="1"/>
  <c r="R397" i="1"/>
  <c r="AW397" i="1" s="1"/>
  <c r="AS396" i="1"/>
  <c r="R396" i="1"/>
  <c r="AW396" i="1" s="1"/>
  <c r="AS395" i="1"/>
  <c r="S395" i="1" s="1"/>
  <c r="R395" i="1"/>
  <c r="AW395" i="1" s="1"/>
  <c r="AS394" i="1"/>
  <c r="R394" i="1"/>
  <c r="AW394" i="1" s="1"/>
  <c r="AS112" i="1"/>
  <c r="R112" i="1"/>
  <c r="AW112" i="1" s="1"/>
  <c r="AS280" i="1"/>
  <c r="AS279" i="1"/>
  <c r="R261" i="1"/>
  <c r="AW261" i="1" s="1"/>
  <c r="S259" i="1"/>
  <c r="R259" i="1"/>
  <c r="AW259" i="1" s="1"/>
  <c r="AS258" i="1"/>
  <c r="R258" i="1"/>
  <c r="AW258" i="1" s="1"/>
  <c r="R253" i="1"/>
  <c r="AW253" i="1" s="1"/>
  <c r="AS252" i="1"/>
  <c r="R252" i="1"/>
  <c r="AW252" i="1" s="1"/>
  <c r="AS243" i="1"/>
  <c r="R243" i="1"/>
  <c r="AW243" i="1" s="1"/>
  <c r="R238" i="1"/>
  <c r="AW238" i="1" s="1"/>
  <c r="R236" i="1"/>
  <c r="AW236" i="1" s="1"/>
  <c r="AS228" i="1"/>
  <c r="R228" i="1"/>
  <c r="AW228" i="1" s="1"/>
  <c r="AS221" i="1"/>
  <c r="R221" i="1"/>
  <c r="AW221" i="1" s="1"/>
  <c r="AS160" i="1"/>
  <c r="AT160" i="1" s="1"/>
  <c r="AS157" i="1"/>
  <c r="R157" i="1"/>
  <c r="AS156" i="1"/>
  <c r="R156" i="1"/>
  <c r="AS155" i="1"/>
  <c r="R155" i="1"/>
  <c r="AS123" i="1"/>
  <c r="R123" i="1"/>
  <c r="AS113" i="1"/>
  <c r="AS87" i="1"/>
  <c r="R87" i="1"/>
  <c r="AS68" i="1"/>
  <c r="R68" i="1"/>
  <c r="AS67" i="1"/>
  <c r="R67" i="1"/>
  <c r="AS53" i="1"/>
  <c r="AT53" i="1" s="1"/>
  <c r="AS235" i="1"/>
  <c r="AS40" i="1"/>
  <c r="AS39" i="1"/>
  <c r="AT39" i="1" s="1"/>
  <c r="AS38" i="1"/>
  <c r="AT38" i="1" s="1"/>
  <c r="AS37" i="1"/>
  <c r="AS36" i="1"/>
  <c r="AT36" i="1" s="1"/>
  <c r="AS35" i="1"/>
  <c r="AT35" i="1" s="1"/>
  <c r="AS753" i="1"/>
  <c r="S753" i="1" s="1"/>
  <c r="S752" i="1"/>
  <c r="AS749" i="1"/>
  <c r="AS748" i="1"/>
  <c r="S748" i="1" s="1"/>
  <c r="AS747" i="1"/>
  <c r="AS746" i="1"/>
  <c r="AS733" i="1"/>
  <c r="AS731" i="1"/>
  <c r="S731" i="1" s="1"/>
  <c r="AS730" i="1"/>
  <c r="S730" i="1" s="1"/>
  <c r="AS729" i="1"/>
  <c r="S729" i="1" s="1"/>
  <c r="AS728" i="1"/>
  <c r="S728" i="1" s="1"/>
  <c r="AS727" i="1"/>
  <c r="S727" i="1" s="1"/>
  <c r="AS726" i="1"/>
  <c r="S726" i="1" s="1"/>
  <c r="AS723" i="1"/>
  <c r="AS692" i="1"/>
  <c r="S692" i="1" s="1"/>
  <c r="AS691" i="1"/>
  <c r="S691" i="1" s="1"/>
  <c r="AS690" i="1"/>
  <c r="S690" i="1" s="1"/>
  <c r="AS689" i="1"/>
  <c r="S689" i="1" s="1"/>
  <c r="AS688" i="1"/>
  <c r="S688" i="1" s="1"/>
  <c r="AS687" i="1"/>
  <c r="S687" i="1" s="1"/>
  <c r="AS686" i="1"/>
  <c r="S686" i="1" s="1"/>
  <c r="AS683" i="1"/>
  <c r="S683" i="1" s="1"/>
  <c r="AS681" i="1"/>
  <c r="S681" i="1" s="1"/>
  <c r="AS680" i="1"/>
  <c r="S680" i="1" s="1"/>
  <c r="S679" i="1"/>
  <c r="AS677" i="1"/>
  <c r="S677" i="1" s="1"/>
  <c r="AS676" i="1"/>
  <c r="S676" i="1" s="1"/>
  <c r="AS675" i="1"/>
  <c r="AS673" i="1"/>
  <c r="AS672" i="1"/>
  <c r="S672" i="1" s="1"/>
  <c r="AS671" i="1"/>
  <c r="AS667" i="1"/>
  <c r="S667" i="1" s="1"/>
  <c r="AS666" i="1"/>
  <c r="AS665" i="1"/>
  <c r="AS661" i="1"/>
  <c r="S661" i="1" s="1"/>
  <c r="AS659" i="1"/>
  <c r="S659" i="1" s="1"/>
  <c r="AS658" i="1"/>
  <c r="AS655" i="1"/>
  <c r="S655" i="1" s="1"/>
  <c r="AS653" i="1"/>
  <c r="S653" i="1" s="1"/>
  <c r="AS652" i="1"/>
  <c r="AS650" i="1"/>
  <c r="S650" i="1" s="1"/>
  <c r="AS647" i="1"/>
  <c r="S647" i="1" s="1"/>
  <c r="AS644" i="1"/>
  <c r="S644" i="1" s="1"/>
  <c r="AS641" i="1"/>
  <c r="S641" i="1" s="1"/>
  <c r="AS640" i="1"/>
  <c r="S640" i="1" s="1"/>
  <c r="AS639" i="1"/>
  <c r="AS637" i="1"/>
  <c r="S637" i="1" s="1"/>
  <c r="AS636" i="1"/>
  <c r="S636" i="1" s="1"/>
  <c r="AS633" i="1"/>
  <c r="AS631" i="1"/>
  <c r="AS630" i="1"/>
  <c r="AS629" i="1"/>
  <c r="AS628" i="1"/>
  <c r="AT628" i="1" s="1"/>
  <c r="AS627" i="1"/>
  <c r="AS625" i="1"/>
  <c r="S625" i="1" s="1"/>
  <c r="AS624" i="1"/>
  <c r="AS623" i="1"/>
  <c r="S623" i="1" s="1"/>
  <c r="AS622" i="1"/>
  <c r="AS621" i="1"/>
  <c r="AS617" i="1"/>
  <c r="S617" i="1" s="1"/>
  <c r="AS616" i="1"/>
  <c r="S616" i="1" s="1"/>
  <c r="AS615" i="1"/>
  <c r="S615" i="1" s="1"/>
  <c r="AS614" i="1"/>
  <c r="AS605" i="1"/>
  <c r="AS604" i="1"/>
  <c r="AS603" i="1"/>
  <c r="AS602" i="1"/>
  <c r="AS601" i="1"/>
  <c r="AS600" i="1"/>
  <c r="AS597" i="1"/>
  <c r="S597" i="1" s="1"/>
  <c r="AS592" i="1"/>
  <c r="S592" i="1" s="1"/>
  <c r="AS591" i="1"/>
  <c r="S591" i="1" s="1"/>
  <c r="AS589" i="1"/>
  <c r="S589" i="1" s="1"/>
  <c r="AS588" i="1"/>
  <c r="S588" i="1" s="1"/>
  <c r="AS587" i="1"/>
  <c r="S587" i="1" s="1"/>
  <c r="AS586" i="1"/>
  <c r="S586" i="1" s="1"/>
  <c r="S584" i="1"/>
  <c r="AS583" i="1"/>
  <c r="S583" i="1" s="1"/>
  <c r="AS581" i="1"/>
  <c r="AS580" i="1"/>
  <c r="S580" i="1" s="1"/>
  <c r="AS579" i="1"/>
  <c r="AS578" i="1"/>
  <c r="AS577" i="1"/>
  <c r="AS576" i="1"/>
  <c r="AT576" i="1" s="1"/>
  <c r="AS575" i="1"/>
  <c r="S575" i="1" s="1"/>
  <c r="AS573" i="1"/>
  <c r="S573" i="1" s="1"/>
  <c r="AS572" i="1"/>
  <c r="S572" i="1" s="1"/>
  <c r="AS571" i="1"/>
  <c r="S571" i="1" s="1"/>
  <c r="AS567" i="1"/>
  <c r="AS566" i="1"/>
  <c r="AS564" i="1"/>
  <c r="AS563" i="1"/>
  <c r="AS562" i="1"/>
  <c r="AS555" i="1"/>
  <c r="S555" i="1" s="1"/>
  <c r="AS554" i="1"/>
  <c r="AS552" i="1"/>
  <c r="AS550" i="1"/>
  <c r="AS549" i="1"/>
  <c r="S549" i="1" s="1"/>
  <c r="AS548" i="1"/>
  <c r="AS546" i="1"/>
  <c r="AS545" i="1"/>
  <c r="AS544" i="1"/>
  <c r="S544" i="1" s="1"/>
  <c r="AS542" i="1"/>
  <c r="S542" i="1" s="1"/>
  <c r="AS541" i="1"/>
  <c r="S541" i="1" s="1"/>
  <c r="AS535" i="1"/>
  <c r="AS533" i="1"/>
  <c r="AS532" i="1"/>
  <c r="S532" i="1" s="1"/>
  <c r="AS530" i="1"/>
  <c r="AS522" i="1"/>
  <c r="AS519" i="1"/>
  <c r="S519" i="1" s="1"/>
  <c r="AS515" i="1"/>
  <c r="S515" i="1" s="1"/>
  <c r="AS509" i="1"/>
  <c r="AS505" i="1"/>
  <c r="AS497" i="1"/>
  <c r="AS494" i="1"/>
  <c r="AS492" i="1"/>
  <c r="AT492" i="1" s="1"/>
  <c r="AS491" i="1"/>
  <c r="S491" i="1" s="1"/>
  <c r="AS489" i="1"/>
  <c r="S489" i="1" s="1"/>
  <c r="AS488" i="1"/>
  <c r="S488" i="1" s="1"/>
  <c r="AS487" i="1"/>
  <c r="S487" i="1" s="1"/>
  <c r="AS485" i="1"/>
  <c r="AS192" i="1"/>
  <c r="AS468" i="1"/>
  <c r="S468" i="1" s="1"/>
  <c r="AS179" i="1"/>
  <c r="AS461" i="1"/>
  <c r="AS460" i="1"/>
  <c r="S460" i="1" s="1"/>
  <c r="S458" i="1"/>
  <c r="AS457" i="1"/>
  <c r="AS456" i="1"/>
  <c r="S456" i="1" s="1"/>
  <c r="AS455" i="1"/>
  <c r="S455" i="1" s="1"/>
  <c r="AS454" i="1"/>
  <c r="AS453" i="1"/>
  <c r="S453" i="1" s="1"/>
  <c r="S452" i="1"/>
  <c r="S449" i="1"/>
  <c r="S448" i="1"/>
  <c r="S442" i="1"/>
  <c r="AS441" i="1"/>
  <c r="S441" i="1" s="1"/>
  <c r="AS437" i="1"/>
  <c r="AS436" i="1"/>
  <c r="AS433" i="1"/>
  <c r="AS423" i="1"/>
  <c r="S423" i="1" s="1"/>
  <c r="AS421" i="1"/>
  <c r="AS417" i="1"/>
  <c r="AS416" i="1"/>
  <c r="AS415" i="1"/>
  <c r="S415" i="1" s="1"/>
  <c r="AS414" i="1"/>
  <c r="S414" i="1" s="1"/>
  <c r="AS413" i="1"/>
  <c r="AS412" i="1"/>
  <c r="S412" i="1" s="1"/>
  <c r="AS411" i="1"/>
  <c r="S411" i="1" s="1"/>
  <c r="AS410" i="1"/>
  <c r="AS409" i="1"/>
  <c r="AS408" i="1"/>
  <c r="S408" i="1" s="1"/>
  <c r="AS407" i="1"/>
  <c r="S407" i="1" s="1"/>
  <c r="AS406" i="1"/>
  <c r="AS405" i="1"/>
  <c r="AS404" i="1"/>
  <c r="AS403" i="1"/>
  <c r="AS402" i="1"/>
  <c r="AS401" i="1"/>
  <c r="AS400" i="1"/>
  <c r="AS398" i="1"/>
  <c r="AS381" i="1"/>
  <c r="AS379" i="1"/>
  <c r="AS377" i="1"/>
  <c r="AS376" i="1"/>
  <c r="S376" i="1" s="1"/>
  <c r="AS375" i="1"/>
  <c r="AS374" i="1"/>
  <c r="AS373" i="1"/>
  <c r="S373" i="1" s="1"/>
  <c r="AS372" i="1"/>
  <c r="AS370" i="1"/>
  <c r="AS369" i="1"/>
  <c r="AS368" i="1"/>
  <c r="AS367" i="1"/>
  <c r="AS366" i="1"/>
  <c r="AS363" i="1"/>
  <c r="AS355" i="1"/>
  <c r="AS356" i="1"/>
  <c r="S356" i="1" s="1"/>
  <c r="AS353" i="1"/>
  <c r="S353" i="1" s="1"/>
  <c r="AS352" i="1"/>
  <c r="S352" i="1" s="1"/>
  <c r="AS351" i="1"/>
  <c r="AS346" i="1"/>
  <c r="S346" i="1" s="1"/>
  <c r="AS345" i="1"/>
  <c r="S345" i="1" s="1"/>
  <c r="AS344" i="1"/>
  <c r="AS340" i="1"/>
  <c r="S340" i="1" s="1"/>
  <c r="AS339" i="1"/>
  <c r="S339" i="1" s="1"/>
  <c r="AS337" i="1"/>
  <c r="AS334" i="1"/>
  <c r="S334" i="1" s="1"/>
  <c r="AS330" i="1"/>
  <c r="AS328" i="1"/>
  <c r="AS327" i="1"/>
  <c r="S327" i="1" s="1"/>
  <c r="AS326" i="1"/>
  <c r="S326" i="1" s="1"/>
  <c r="AS116" i="1"/>
  <c r="AS115" i="1"/>
  <c r="AS321" i="1"/>
  <c r="AS109" i="1"/>
  <c r="AS320" i="1"/>
  <c r="S320" i="1" s="1"/>
  <c r="AS319" i="1"/>
  <c r="S319" i="1" s="1"/>
  <c r="AS318" i="1"/>
  <c r="S318" i="1" s="1"/>
  <c r="AS317" i="1"/>
  <c r="AS316" i="1"/>
  <c r="AS315" i="1"/>
  <c r="AS314" i="1"/>
  <c r="AS312" i="1"/>
  <c r="S312" i="1" s="1"/>
  <c r="AS309" i="1"/>
  <c r="AT309" i="1" s="1"/>
  <c r="AS304" i="1"/>
  <c r="S304" i="1" s="1"/>
  <c r="S303" i="1"/>
  <c r="AS302" i="1"/>
  <c r="AS301" i="1"/>
  <c r="S301" i="1" s="1"/>
  <c r="AS298" i="1"/>
  <c r="S298" i="1" s="1"/>
  <c r="AS293" i="1"/>
  <c r="AS290" i="1"/>
  <c r="AS288" i="1"/>
  <c r="AS284" i="1"/>
  <c r="AS283" i="1"/>
  <c r="AS78" i="1"/>
  <c r="AS69" i="1"/>
  <c r="AS55" i="1"/>
  <c r="S55" i="1" s="1"/>
  <c r="AT55" i="1" s="1"/>
  <c r="AS265" i="1"/>
  <c r="AS264" i="1"/>
  <c r="AS263" i="1"/>
  <c r="AS262" i="1"/>
  <c r="AS255" i="1"/>
  <c r="S255" i="1" s="1"/>
  <c r="AS251" i="1"/>
  <c r="AS248" i="1"/>
  <c r="AS247" i="1"/>
  <c r="AS246" i="1"/>
  <c r="AS244" i="1"/>
  <c r="S244" i="1" s="1"/>
  <c r="AS227" i="1"/>
  <c r="AS223" i="1"/>
  <c r="AS220" i="1"/>
  <c r="AS219" i="1"/>
  <c r="S219" i="1" s="1"/>
  <c r="AS218" i="1"/>
  <c r="S218" i="1" s="1"/>
  <c r="AS217" i="1"/>
  <c r="S217" i="1" s="1"/>
  <c r="AS216" i="1"/>
  <c r="S216" i="1" s="1"/>
  <c r="AS215" i="1"/>
  <c r="S215" i="1" s="1"/>
  <c r="AS214" i="1"/>
  <c r="S214" i="1" s="1"/>
  <c r="AS212" i="1"/>
  <c r="AS208" i="1"/>
  <c r="AS202" i="1"/>
  <c r="AS201" i="1"/>
  <c r="S201" i="1" s="1"/>
  <c r="AT201" i="1" s="1"/>
  <c r="AS200" i="1"/>
  <c r="AS198" i="1"/>
  <c r="AS195" i="1"/>
  <c r="AS193" i="1"/>
  <c r="AS191" i="1"/>
  <c r="AS190" i="1"/>
  <c r="AS176" i="1"/>
  <c r="S176" i="1" s="1"/>
  <c r="AT176" i="1" s="1"/>
  <c r="AS172" i="1"/>
  <c r="AT172" i="1" s="1"/>
  <c r="AS170" i="1"/>
  <c r="AS166" i="1"/>
  <c r="AS162" i="1"/>
  <c r="AT162" i="1" s="1"/>
  <c r="AS161" i="1"/>
  <c r="AS158" i="1"/>
  <c r="AT158" i="1" s="1"/>
  <c r="AS152" i="1"/>
  <c r="AS151" i="1"/>
  <c r="AS149" i="1"/>
  <c r="AT149" i="1" s="1"/>
  <c r="AS148" i="1"/>
  <c r="AT148" i="1" s="1"/>
  <c r="AS145" i="1"/>
  <c r="AT145" i="1" s="1"/>
  <c r="AS137" i="1"/>
  <c r="AS135" i="1"/>
  <c r="AS134" i="1"/>
  <c r="AS129" i="1"/>
  <c r="AS126" i="1"/>
  <c r="AT126" i="1" s="1"/>
  <c r="AS125" i="1"/>
  <c r="AS124" i="1"/>
  <c r="AT124" i="1" s="1"/>
  <c r="AS121" i="1"/>
  <c r="S121" i="1" s="1"/>
  <c r="AT121" i="1" s="1"/>
  <c r="AS120" i="1"/>
  <c r="AS119" i="1"/>
  <c r="AS118" i="1"/>
  <c r="AS117" i="1"/>
  <c r="AS114" i="1"/>
  <c r="AS110" i="1"/>
  <c r="AT110" i="1" s="1"/>
  <c r="AS108" i="1"/>
  <c r="AT108" i="1" s="1"/>
  <c r="AS107" i="1"/>
  <c r="AS103" i="1"/>
  <c r="AS102" i="1"/>
  <c r="AS101" i="1"/>
  <c r="AS100" i="1"/>
  <c r="AS94" i="1"/>
  <c r="AS92" i="1"/>
  <c r="AS91" i="1"/>
  <c r="AS90" i="1"/>
  <c r="AS89" i="1"/>
  <c r="AS86" i="1"/>
  <c r="AS84" i="1"/>
  <c r="AS83" i="1"/>
  <c r="AS82" i="1"/>
  <c r="AS77" i="1"/>
  <c r="AT77" i="1" s="1"/>
  <c r="AS71" i="1"/>
  <c r="AT71" i="1" s="1"/>
  <c r="AS70" i="1"/>
  <c r="AS65" i="1"/>
  <c r="AS62" i="1"/>
  <c r="AS61" i="1"/>
  <c r="AS59" i="1"/>
  <c r="AS57" i="1"/>
  <c r="AS56" i="1"/>
  <c r="S56" i="1" s="1"/>
  <c r="AS245" i="1"/>
  <c r="AT245" i="1" s="1"/>
  <c r="AS51" i="1"/>
  <c r="AS242" i="1" s="1"/>
  <c r="AS50" i="1"/>
  <c r="AS48" i="1"/>
  <c r="AT48" i="1" s="1"/>
  <c r="AS47" i="1"/>
  <c r="AT47" i="1" s="1"/>
  <c r="AS46" i="1"/>
  <c r="AS45" i="1"/>
  <c r="AS44" i="1"/>
  <c r="AS34" i="1"/>
  <c r="AS32" i="1"/>
  <c r="AT32" i="1" s="1"/>
  <c r="AS25" i="1"/>
  <c r="AS24" i="1"/>
  <c r="AS23" i="1"/>
  <c r="AS22" i="1"/>
  <c r="AS21" i="1"/>
  <c r="AS20" i="1"/>
  <c r="S20" i="1" s="1"/>
  <c r="AT20" i="1" s="1"/>
  <c r="AS19" i="1"/>
  <c r="S19" i="1" s="1"/>
  <c r="AT19" i="1" s="1"/>
  <c r="AS18" i="1"/>
  <c r="AT18" i="1" s="1"/>
  <c r="R753" i="1"/>
  <c r="AW753" i="1" s="1"/>
  <c r="R752" i="1"/>
  <c r="AW752" i="1" s="1"/>
  <c r="R749" i="1"/>
  <c r="AW749" i="1" s="1"/>
  <c r="R748" i="1"/>
  <c r="AW748" i="1" s="1"/>
  <c r="R745" i="1"/>
  <c r="AW745" i="1" s="1"/>
  <c r="R744" i="1"/>
  <c r="AW744" i="1" s="1"/>
  <c r="R733" i="1"/>
  <c r="AW733" i="1" s="1"/>
  <c r="R732" i="1"/>
  <c r="AW732" i="1" s="1"/>
  <c r="R731" i="1"/>
  <c r="AW731" i="1" s="1"/>
  <c r="R730" i="1"/>
  <c r="AW730" i="1" s="1"/>
  <c r="R729" i="1"/>
  <c r="AW729" i="1" s="1"/>
  <c r="R728" i="1"/>
  <c r="AW728" i="1" s="1"/>
  <c r="R727" i="1"/>
  <c r="AW727" i="1" s="1"/>
  <c r="R726" i="1"/>
  <c r="AW726" i="1" s="1"/>
  <c r="R725" i="1"/>
  <c r="AW725" i="1" s="1"/>
  <c r="R723" i="1"/>
  <c r="AW723" i="1" s="1"/>
  <c r="R693" i="1"/>
  <c r="AW693" i="1" s="1"/>
  <c r="R692" i="1"/>
  <c r="AW692" i="1" s="1"/>
  <c r="R691" i="1"/>
  <c r="AW691" i="1" s="1"/>
  <c r="R690" i="1"/>
  <c r="AW690" i="1" s="1"/>
  <c r="R689" i="1"/>
  <c r="AW689" i="1" s="1"/>
  <c r="R688" i="1"/>
  <c r="AW688" i="1" s="1"/>
  <c r="R687" i="1"/>
  <c r="AW687" i="1" s="1"/>
  <c r="R686" i="1"/>
  <c r="AW686" i="1" s="1"/>
  <c r="R683" i="1"/>
  <c r="AW683" i="1" s="1"/>
  <c r="R681" i="1"/>
  <c r="AW681" i="1" s="1"/>
  <c r="R680" i="1"/>
  <c r="AW680" i="1" s="1"/>
  <c r="R679" i="1"/>
  <c r="AW679" i="1" s="1"/>
  <c r="R677" i="1"/>
  <c r="AW677" i="1" s="1"/>
  <c r="R676" i="1"/>
  <c r="AW676" i="1" s="1"/>
  <c r="R675" i="1"/>
  <c r="AW675" i="1" s="1"/>
  <c r="R673" i="1"/>
  <c r="AW673" i="1" s="1"/>
  <c r="R672" i="1"/>
  <c r="AW672" i="1" s="1"/>
  <c r="R671" i="1"/>
  <c r="AW671" i="1" s="1"/>
  <c r="R670" i="1"/>
  <c r="AW670" i="1" s="1"/>
  <c r="R669" i="1"/>
  <c r="AW669" i="1" s="1"/>
  <c r="R668" i="1"/>
  <c r="AW668" i="1" s="1"/>
  <c r="R667" i="1"/>
  <c r="AW667" i="1" s="1"/>
  <c r="R665" i="1"/>
  <c r="AW665" i="1" s="1"/>
  <c r="R664" i="1"/>
  <c r="AW664" i="1" s="1"/>
  <c r="R663" i="1"/>
  <c r="AW663" i="1" s="1"/>
  <c r="R662" i="1"/>
  <c r="AW662" i="1" s="1"/>
  <c r="R661" i="1"/>
  <c r="AW661" i="1" s="1"/>
  <c r="R659" i="1"/>
  <c r="AW659" i="1" s="1"/>
  <c r="R658" i="1"/>
  <c r="AW658" i="1" s="1"/>
  <c r="R655" i="1"/>
  <c r="AW655" i="1" s="1"/>
  <c r="R653" i="1"/>
  <c r="AW653" i="1" s="1"/>
  <c r="R652" i="1"/>
  <c r="AW652" i="1" s="1"/>
  <c r="R650" i="1"/>
  <c r="AW650" i="1" s="1"/>
  <c r="R647" i="1"/>
  <c r="AW647" i="1" s="1"/>
  <c r="R637" i="1"/>
  <c r="AW637" i="1" s="1"/>
  <c r="R636" i="1"/>
  <c r="AW636" i="1" s="1"/>
  <c r="R631" i="1"/>
  <c r="AW631" i="1" s="1"/>
  <c r="R629" i="1"/>
  <c r="AW629" i="1" s="1"/>
  <c r="R627" i="1"/>
  <c r="AW627" i="1" s="1"/>
  <c r="R625" i="1"/>
  <c r="AW625" i="1" s="1"/>
  <c r="R624" i="1"/>
  <c r="AW624" i="1" s="1"/>
  <c r="R622" i="1"/>
  <c r="AW622" i="1" s="1"/>
  <c r="R621" i="1"/>
  <c r="AW621" i="1" s="1"/>
  <c r="R617" i="1"/>
  <c r="AW617" i="1" s="1"/>
  <c r="R616" i="1"/>
  <c r="AW616" i="1" s="1"/>
  <c r="R615" i="1"/>
  <c r="AW615" i="1" s="1"/>
  <c r="R614" i="1"/>
  <c r="AW614" i="1" s="1"/>
  <c r="R605" i="1"/>
  <c r="AW605" i="1" s="1"/>
  <c r="R604" i="1"/>
  <c r="AW604" i="1" s="1"/>
  <c r="R603" i="1"/>
  <c r="AW603" i="1" s="1"/>
  <c r="R600" i="1"/>
  <c r="AW600" i="1" s="1"/>
  <c r="R597" i="1"/>
  <c r="AW597" i="1" s="1"/>
  <c r="R592" i="1"/>
  <c r="AW592" i="1" s="1"/>
  <c r="R591" i="1"/>
  <c r="AW591" i="1" s="1"/>
  <c r="R589" i="1"/>
  <c r="AW589" i="1" s="1"/>
  <c r="R588" i="1"/>
  <c r="AW588" i="1" s="1"/>
  <c r="R587" i="1"/>
  <c r="AW587" i="1" s="1"/>
  <c r="R586" i="1"/>
  <c r="AW586" i="1" s="1"/>
  <c r="R585" i="1"/>
  <c r="AW585" i="1" s="1"/>
  <c r="R584" i="1"/>
  <c r="AW584" i="1" s="1"/>
  <c r="R583" i="1"/>
  <c r="AW583" i="1" s="1"/>
  <c r="R580" i="1"/>
  <c r="R577" i="1"/>
  <c r="AW577" i="1" s="1"/>
  <c r="R575" i="1"/>
  <c r="AW575" i="1" s="1"/>
  <c r="R573" i="1"/>
  <c r="AW573" i="1" s="1"/>
  <c r="R571" i="1"/>
  <c r="AW571" i="1" s="1"/>
  <c r="R567" i="1"/>
  <c r="AW567" i="1" s="1"/>
  <c r="R566" i="1"/>
  <c r="AW566" i="1" s="1"/>
  <c r="R565" i="1"/>
  <c r="AW565" i="1" s="1"/>
  <c r="R564" i="1"/>
  <c r="AW564" i="1" s="1"/>
  <c r="R563" i="1"/>
  <c r="AW563" i="1" s="1"/>
  <c r="R562" i="1"/>
  <c r="AW562" i="1" s="1"/>
  <c r="R555" i="1"/>
  <c r="AW555" i="1" s="1"/>
  <c r="R554" i="1"/>
  <c r="AW554" i="1" s="1"/>
  <c r="R552" i="1"/>
  <c r="AW552" i="1" s="1"/>
  <c r="R550" i="1"/>
  <c r="AW550" i="1" s="1"/>
  <c r="R549" i="1"/>
  <c r="AW549" i="1" s="1"/>
  <c r="R548" i="1"/>
  <c r="AW548" i="1" s="1"/>
  <c r="R546" i="1"/>
  <c r="AW546" i="1" s="1"/>
  <c r="R545" i="1"/>
  <c r="AW545" i="1" s="1"/>
  <c r="R544" i="1"/>
  <c r="AW544" i="1" s="1"/>
  <c r="R542" i="1"/>
  <c r="AW542" i="1" s="1"/>
  <c r="R541" i="1"/>
  <c r="AW541" i="1" s="1"/>
  <c r="R536" i="1"/>
  <c r="AW536" i="1" s="1"/>
  <c r="R535" i="1"/>
  <c r="AW535" i="1" s="1"/>
  <c r="R533" i="1"/>
  <c r="AW533" i="1" s="1"/>
  <c r="R532" i="1"/>
  <c r="AW532" i="1" s="1"/>
  <c r="R531" i="1"/>
  <c r="AW531" i="1" s="1"/>
  <c r="R530" i="1"/>
  <c r="AW530" i="1" s="1"/>
  <c r="R529" i="1"/>
  <c r="AW529" i="1" s="1"/>
  <c r="R522" i="1"/>
  <c r="AW522" i="1" s="1"/>
  <c r="R519" i="1"/>
  <c r="AW519" i="1" s="1"/>
  <c r="R515" i="1"/>
  <c r="AW515" i="1" s="1"/>
  <c r="R509" i="1"/>
  <c r="AW509" i="1" s="1"/>
  <c r="R506" i="1"/>
  <c r="AW506" i="1" s="1"/>
  <c r="R505" i="1"/>
  <c r="AW505" i="1" s="1"/>
  <c r="R497" i="1"/>
  <c r="AW497" i="1" s="1"/>
  <c r="R491" i="1"/>
  <c r="AW491" i="1" s="1"/>
  <c r="R489" i="1"/>
  <c r="AW489" i="1" s="1"/>
  <c r="R488" i="1"/>
  <c r="AW488" i="1" s="1"/>
  <c r="R487" i="1"/>
  <c r="AW487" i="1" s="1"/>
  <c r="R485" i="1"/>
  <c r="R192" i="1"/>
  <c r="R468" i="1"/>
  <c r="AW468" i="1" s="1"/>
  <c r="R179" i="1"/>
  <c r="R461" i="1"/>
  <c r="R460" i="1"/>
  <c r="AW460" i="1" s="1"/>
  <c r="R459" i="1"/>
  <c r="AW459" i="1" s="1"/>
  <c r="R458" i="1"/>
  <c r="AW458" i="1" s="1"/>
  <c r="R457" i="1"/>
  <c r="AW457" i="1" s="1"/>
  <c r="R456" i="1"/>
  <c r="AW456" i="1" s="1"/>
  <c r="R455" i="1"/>
  <c r="AW455" i="1" s="1"/>
  <c r="R454" i="1"/>
  <c r="AW454" i="1" s="1"/>
  <c r="R453" i="1"/>
  <c r="AW453" i="1" s="1"/>
  <c r="R452" i="1"/>
  <c r="AW452" i="1" s="1"/>
  <c r="R449" i="1"/>
  <c r="AW449" i="1" s="1"/>
  <c r="R448" i="1"/>
  <c r="AW448" i="1" s="1"/>
  <c r="R442" i="1"/>
  <c r="AW442" i="1" s="1"/>
  <c r="R441" i="1"/>
  <c r="R437" i="1"/>
  <c r="AW437" i="1" s="1"/>
  <c r="R436" i="1"/>
  <c r="AW436" i="1" s="1"/>
  <c r="R433" i="1"/>
  <c r="AW433" i="1" s="1"/>
  <c r="R423" i="1"/>
  <c r="AW423" i="1" s="1"/>
  <c r="R421" i="1"/>
  <c r="AW421" i="1" s="1"/>
  <c r="R417" i="1"/>
  <c r="AW417" i="1" s="1"/>
  <c r="R416" i="1"/>
  <c r="AW416" i="1" s="1"/>
  <c r="R415" i="1"/>
  <c r="AW415" i="1" s="1"/>
  <c r="R414" i="1"/>
  <c r="AW414" i="1" s="1"/>
  <c r="R413" i="1"/>
  <c r="AW413" i="1" s="1"/>
  <c r="R412" i="1"/>
  <c r="AW412" i="1" s="1"/>
  <c r="R411" i="1"/>
  <c r="AW411" i="1" s="1"/>
  <c r="R410" i="1"/>
  <c r="AW410" i="1" s="1"/>
  <c r="R409" i="1"/>
  <c r="AW409" i="1" s="1"/>
  <c r="R408" i="1"/>
  <c r="AW408" i="1" s="1"/>
  <c r="R407" i="1"/>
  <c r="AW407" i="1" s="1"/>
  <c r="R406" i="1"/>
  <c r="AW406" i="1" s="1"/>
  <c r="R405" i="1"/>
  <c r="AW405" i="1" s="1"/>
  <c r="R404" i="1"/>
  <c r="AW404" i="1" s="1"/>
  <c r="R403" i="1"/>
  <c r="AW403" i="1" s="1"/>
  <c r="R402" i="1"/>
  <c r="AW402" i="1" s="1"/>
  <c r="R401" i="1"/>
  <c r="AW401" i="1" s="1"/>
  <c r="R400" i="1"/>
  <c r="AW400" i="1" s="1"/>
  <c r="R398" i="1"/>
  <c r="AW398" i="1" s="1"/>
  <c r="R381" i="1"/>
  <c r="AW381" i="1" s="1"/>
  <c r="R379" i="1"/>
  <c r="AW379" i="1" s="1"/>
  <c r="R377" i="1"/>
  <c r="AW377" i="1" s="1"/>
  <c r="R376" i="1"/>
  <c r="AW376" i="1" s="1"/>
  <c r="R375" i="1"/>
  <c r="R374" i="1"/>
  <c r="AW374" i="1" s="1"/>
  <c r="R373" i="1"/>
  <c r="AW373" i="1" s="1"/>
  <c r="R372" i="1"/>
  <c r="AW372" i="1" s="1"/>
  <c r="R370" i="1"/>
  <c r="AW370" i="1" s="1"/>
  <c r="R369" i="1"/>
  <c r="R368" i="1"/>
  <c r="AW368" i="1" s="1"/>
  <c r="R367" i="1"/>
  <c r="AW367" i="1" s="1"/>
  <c r="R366" i="1"/>
  <c r="AW366" i="1" s="1"/>
  <c r="R363" i="1"/>
  <c r="AW363" i="1" s="1"/>
  <c r="R362" i="1"/>
  <c r="AW362" i="1" s="1"/>
  <c r="R361" i="1"/>
  <c r="AW361" i="1" s="1"/>
  <c r="R360" i="1"/>
  <c r="AW360" i="1" s="1"/>
  <c r="R359" i="1"/>
  <c r="AW359" i="1" s="1"/>
  <c r="R358" i="1"/>
  <c r="AW358" i="1" s="1"/>
  <c r="R357" i="1"/>
  <c r="AW357" i="1" s="1"/>
  <c r="R355" i="1"/>
  <c r="AW355" i="1" s="1"/>
  <c r="R356" i="1"/>
  <c r="AW356" i="1" s="1"/>
  <c r="R353" i="1"/>
  <c r="AW353" i="1" s="1"/>
  <c r="R352" i="1"/>
  <c r="AW352" i="1" s="1"/>
  <c r="R351" i="1"/>
  <c r="AW351" i="1" s="1"/>
  <c r="R346" i="1"/>
  <c r="AW346" i="1" s="1"/>
  <c r="R345" i="1"/>
  <c r="AW345" i="1" s="1"/>
  <c r="R343" i="1"/>
  <c r="AW343" i="1" s="1"/>
  <c r="R340" i="1"/>
  <c r="AW340" i="1" s="1"/>
  <c r="R339" i="1"/>
  <c r="AW339" i="1" s="1"/>
  <c r="R334" i="1"/>
  <c r="AW334" i="1" s="1"/>
  <c r="R330" i="1"/>
  <c r="AW330" i="1" s="1"/>
  <c r="R327" i="1"/>
  <c r="AW327" i="1" s="1"/>
  <c r="R326" i="1"/>
  <c r="R116" i="1"/>
  <c r="R115" i="1"/>
  <c r="R320" i="1"/>
  <c r="AW320" i="1" s="1"/>
  <c r="R319" i="1"/>
  <c r="R318" i="1"/>
  <c r="AW318" i="1" s="1"/>
  <c r="R312" i="1"/>
  <c r="AW312" i="1" s="1"/>
  <c r="R304" i="1"/>
  <c r="AW304" i="1" s="1"/>
  <c r="R303" i="1"/>
  <c r="AW303" i="1" s="1"/>
  <c r="R302" i="1"/>
  <c r="AW302" i="1" s="1"/>
  <c r="R301" i="1"/>
  <c r="AW301" i="1" s="1"/>
  <c r="R299" i="1"/>
  <c r="R298" i="1"/>
  <c r="AW298" i="1" s="1"/>
  <c r="R293" i="1"/>
  <c r="AW293" i="1" s="1"/>
  <c r="R290" i="1"/>
  <c r="S105" i="1" s="1"/>
  <c r="AT105" i="1" s="1"/>
  <c r="R285" i="1"/>
  <c r="AW285" i="1" s="1"/>
  <c r="R283" i="1"/>
  <c r="AW283" i="1" s="1"/>
  <c r="R282" i="1"/>
  <c r="AW282" i="1" s="1"/>
  <c r="R281" i="1"/>
  <c r="AW281" i="1" s="1"/>
  <c r="R55" i="1"/>
  <c r="T77" i="1" s="1"/>
  <c r="N77" i="1" s="1"/>
  <c r="R265" i="1"/>
  <c r="AW265" i="1" s="1"/>
  <c r="R264" i="1"/>
  <c r="AW264" i="1" s="1"/>
  <c r="R263" i="1"/>
  <c r="AW263" i="1" s="1"/>
  <c r="R262" i="1"/>
  <c r="AW262" i="1" s="1"/>
  <c r="R255" i="1"/>
  <c r="AW255" i="1" s="1"/>
  <c r="R251" i="1"/>
  <c r="R248" i="1"/>
  <c r="AW248" i="1" s="1"/>
  <c r="R247" i="1"/>
  <c r="AW247" i="1" s="1"/>
  <c r="R246" i="1"/>
  <c r="AW246" i="1" s="1"/>
  <c r="R241" i="1"/>
  <c r="AW241" i="1" s="1"/>
  <c r="R240" i="1"/>
  <c r="AW240" i="1" s="1"/>
  <c r="R227" i="1"/>
  <c r="AW227" i="1" s="1"/>
  <c r="R223" i="1"/>
  <c r="AW223" i="1" s="1"/>
  <c r="R222" i="1"/>
  <c r="AW222" i="1" s="1"/>
  <c r="R220" i="1"/>
  <c r="AW220" i="1" s="1"/>
  <c r="R219" i="1"/>
  <c r="AW219" i="1" s="1"/>
  <c r="R218" i="1"/>
  <c r="AW218" i="1" s="1"/>
  <c r="R217" i="1"/>
  <c r="AW217" i="1" s="1"/>
  <c r="R216" i="1"/>
  <c r="AW216" i="1" s="1"/>
  <c r="R215" i="1"/>
  <c r="AW215" i="1" s="1"/>
  <c r="R214" i="1"/>
  <c r="AW214" i="1" s="1"/>
  <c r="R212" i="1"/>
  <c r="AW212" i="1" s="1"/>
  <c r="R208" i="1"/>
  <c r="AW208" i="1" s="1"/>
  <c r="R202" i="1"/>
  <c r="S200" i="1"/>
  <c r="AS477" i="1" s="1"/>
  <c r="AT477" i="1" s="1"/>
  <c r="R199" i="1"/>
  <c r="R198" i="1"/>
  <c r="AQ479" i="1" s="1"/>
  <c r="R479" i="1" s="1"/>
  <c r="AW479" i="1" s="1"/>
  <c r="R196" i="1"/>
  <c r="R176" i="1"/>
  <c r="R153" i="1"/>
  <c r="R152" i="1"/>
  <c r="R151" i="1"/>
  <c r="AQ391" i="1" s="1"/>
  <c r="R391" i="1" s="1"/>
  <c r="AW391" i="1" s="1"/>
  <c r="R119" i="1"/>
  <c r="R103" i="1"/>
  <c r="R102" i="1"/>
  <c r="R101" i="1"/>
  <c r="R99" i="1"/>
  <c r="R96" i="1"/>
  <c r="R90" i="1"/>
  <c r="R88" i="1"/>
  <c r="R84" i="1"/>
  <c r="R83" i="1"/>
  <c r="R82" i="1"/>
  <c r="R65" i="1"/>
  <c r="R64" i="1"/>
  <c r="R61" i="1"/>
  <c r="AQ242" i="1"/>
  <c r="R50" i="1"/>
  <c r="R45" i="1"/>
  <c r="AQ260" i="1" s="1"/>
  <c r="R23" i="1"/>
  <c r="R21" i="1"/>
  <c r="R20" i="1"/>
  <c r="R19" i="1"/>
  <c r="R18" i="1"/>
  <c r="S242" i="1" l="1"/>
  <c r="AP77" i="1"/>
  <c r="S70" i="1"/>
  <c r="S50" i="1"/>
  <c r="AW580" i="1"/>
  <c r="S84" i="1"/>
  <c r="AS593" i="1" s="1"/>
  <c r="S593" i="1" s="1"/>
  <c r="AQ593" i="1"/>
  <c r="R593" i="1" s="1"/>
  <c r="AW469" i="1"/>
  <c r="AQ739" i="1"/>
  <c r="AQ325" i="1"/>
  <c r="R325" i="1" s="1"/>
  <c r="AW325" i="1" s="1"/>
  <c r="T114" i="1"/>
  <c r="AT107" i="1"/>
  <c r="AQ422" i="1"/>
  <c r="AQ392" i="1"/>
  <c r="R392" i="1" s="1"/>
  <c r="AW392" i="1" s="1"/>
  <c r="AS294" i="1"/>
  <c r="AQ294" i="1"/>
  <c r="R294" i="1" s="1"/>
  <c r="AW294" i="1" s="1"/>
  <c r="AT43" i="1"/>
  <c r="AT254" i="1"/>
  <c r="AT70" i="1"/>
  <c r="AT200" i="1"/>
  <c r="AT117" i="1"/>
  <c r="AX423" i="1"/>
  <c r="AT423" i="1"/>
  <c r="AX616" i="1"/>
  <c r="AT616" i="1"/>
  <c r="AQ645" i="1"/>
  <c r="AW326" i="1"/>
  <c r="AW461" i="1"/>
  <c r="AX216" i="1"/>
  <c r="AT216" i="1"/>
  <c r="AX334" i="1"/>
  <c r="AT334" i="1"/>
  <c r="AX352" i="1"/>
  <c r="AT352" i="1"/>
  <c r="AX412" i="1"/>
  <c r="AT412" i="1"/>
  <c r="AX453" i="1"/>
  <c r="AT453" i="1"/>
  <c r="AX586" i="1"/>
  <c r="AT586" i="1"/>
  <c r="AX617" i="1"/>
  <c r="AT617" i="1"/>
  <c r="AX641" i="1"/>
  <c r="AT641" i="1"/>
  <c r="AX659" i="1"/>
  <c r="AT659" i="1"/>
  <c r="AX687" i="1"/>
  <c r="AT687" i="1"/>
  <c r="AX727" i="1"/>
  <c r="AT727" i="1"/>
  <c r="AX748" i="1"/>
  <c r="AT748" i="1"/>
  <c r="AX395" i="1"/>
  <c r="AT395" i="1"/>
  <c r="AX443" i="1"/>
  <c r="AT443" i="1"/>
  <c r="AX244" i="1"/>
  <c r="AT244" i="1"/>
  <c r="AX491" i="1"/>
  <c r="AT491" i="1"/>
  <c r="AX726" i="1"/>
  <c r="AT726" i="1"/>
  <c r="AX259" i="1"/>
  <c r="AT259" i="1"/>
  <c r="AX467" i="1"/>
  <c r="AT467" i="1"/>
  <c r="AW369" i="1"/>
  <c r="AX217" i="1"/>
  <c r="AT217" i="1"/>
  <c r="AX298" i="1"/>
  <c r="AT298" i="1"/>
  <c r="AX353" i="1"/>
  <c r="AT353" i="1"/>
  <c r="AX468" i="1"/>
  <c r="AT468" i="1"/>
  <c r="AX532" i="1"/>
  <c r="AT532" i="1"/>
  <c r="AX587" i="1"/>
  <c r="AT587" i="1"/>
  <c r="AX644" i="1"/>
  <c r="AT644" i="1"/>
  <c r="AX661" i="1"/>
  <c r="AT661" i="1"/>
  <c r="AX676" i="1"/>
  <c r="AT676" i="1"/>
  <c r="AX688" i="1"/>
  <c r="AT688" i="1"/>
  <c r="AX728" i="1"/>
  <c r="AT728" i="1"/>
  <c r="AX420" i="1"/>
  <c r="AT420" i="1"/>
  <c r="AX707" i="1"/>
  <c r="AT707" i="1"/>
  <c r="AX464" i="1"/>
  <c r="AT464" i="1"/>
  <c r="AX469" i="1"/>
  <c r="AT469" i="1"/>
  <c r="AX376" i="1"/>
  <c r="AT376" i="1"/>
  <c r="AX218" i="1"/>
  <c r="AT218" i="1"/>
  <c r="AX301" i="1"/>
  <c r="AT301" i="1"/>
  <c r="AX339" i="1"/>
  <c r="AT339" i="1"/>
  <c r="AX414" i="1"/>
  <c r="AT414" i="1"/>
  <c r="AX455" i="1"/>
  <c r="AT455" i="1"/>
  <c r="AX549" i="1"/>
  <c r="AT549" i="1"/>
  <c r="AX588" i="1"/>
  <c r="AT588" i="1"/>
  <c r="AX647" i="1"/>
  <c r="AT647" i="1"/>
  <c r="AX677" i="1"/>
  <c r="AT677" i="1"/>
  <c r="AX689" i="1"/>
  <c r="AT689" i="1"/>
  <c r="AX729" i="1"/>
  <c r="AT729" i="1"/>
  <c r="AX752" i="1"/>
  <c r="AT752" i="1"/>
  <c r="AX551" i="1"/>
  <c r="AT551" i="1"/>
  <c r="AX312" i="1"/>
  <c r="AT312" i="1"/>
  <c r="AX411" i="1"/>
  <c r="AT411" i="1"/>
  <c r="AX584" i="1"/>
  <c r="AT584" i="1"/>
  <c r="AX463" i="1"/>
  <c r="AT463" i="1"/>
  <c r="AW441" i="1"/>
  <c r="AX219" i="1"/>
  <c r="AT219" i="1"/>
  <c r="AX340" i="1"/>
  <c r="AT340" i="1"/>
  <c r="AX356" i="1"/>
  <c r="AT356" i="1"/>
  <c r="AX407" i="1"/>
  <c r="AT407" i="1"/>
  <c r="AX415" i="1"/>
  <c r="AT415" i="1"/>
  <c r="AX441" i="1"/>
  <c r="AT441" i="1"/>
  <c r="AX456" i="1"/>
  <c r="AT456" i="1"/>
  <c r="AX589" i="1"/>
  <c r="AT589" i="1"/>
  <c r="AX623" i="1"/>
  <c r="AT623" i="1"/>
  <c r="AX650" i="1"/>
  <c r="AT650" i="1"/>
  <c r="AX679" i="1"/>
  <c r="AT679" i="1"/>
  <c r="AX690" i="1"/>
  <c r="AT690" i="1"/>
  <c r="AX730" i="1"/>
  <c r="AT730" i="1"/>
  <c r="AX753" i="1"/>
  <c r="AT753" i="1"/>
  <c r="AX697" i="1"/>
  <c r="AT697" i="1"/>
  <c r="AX717" i="1"/>
  <c r="AT717" i="1"/>
  <c r="AX465" i="1"/>
  <c r="AT465" i="1"/>
  <c r="AX640" i="1"/>
  <c r="AT640" i="1"/>
  <c r="AX419" i="1"/>
  <c r="AT419" i="1"/>
  <c r="AQ632" i="1"/>
  <c r="AW319" i="1"/>
  <c r="R71" i="1"/>
  <c r="AT51" i="1"/>
  <c r="AX255" i="1"/>
  <c r="AT255" i="1"/>
  <c r="AX303" i="1"/>
  <c r="AT303" i="1"/>
  <c r="AX318" i="1"/>
  <c r="AT318" i="1"/>
  <c r="AX326" i="1"/>
  <c r="AT326" i="1"/>
  <c r="AX373" i="1"/>
  <c r="AT373" i="1"/>
  <c r="AX408" i="1"/>
  <c r="AT408" i="1"/>
  <c r="AX442" i="1"/>
  <c r="AT442" i="1"/>
  <c r="AX487" i="1"/>
  <c r="AT487" i="1"/>
  <c r="AX541" i="1"/>
  <c r="AT541" i="1"/>
  <c r="AX571" i="1"/>
  <c r="AT571" i="1"/>
  <c r="AX580" i="1"/>
  <c r="AT580" i="1"/>
  <c r="AX591" i="1"/>
  <c r="AT591" i="1"/>
  <c r="AX636" i="1"/>
  <c r="AT636" i="1"/>
  <c r="AX667" i="1"/>
  <c r="AT667" i="1"/>
  <c r="AX680" i="1"/>
  <c r="AT680" i="1"/>
  <c r="AX691" i="1"/>
  <c r="AT691" i="1"/>
  <c r="AX731" i="1"/>
  <c r="AT731" i="1"/>
  <c r="AX428" i="1"/>
  <c r="AT428" i="1"/>
  <c r="AX553" i="1"/>
  <c r="AT553" i="1"/>
  <c r="AX575" i="1"/>
  <c r="AT575" i="1"/>
  <c r="AX686" i="1"/>
  <c r="AT686" i="1"/>
  <c r="AW485" i="1"/>
  <c r="AQ623" i="1"/>
  <c r="AW299" i="1"/>
  <c r="AX304" i="1"/>
  <c r="AT304" i="1"/>
  <c r="AX319" i="1"/>
  <c r="AT319" i="1"/>
  <c r="AX345" i="1"/>
  <c r="AT345" i="1"/>
  <c r="AX448" i="1"/>
  <c r="AT448" i="1"/>
  <c r="AX458" i="1"/>
  <c r="AT458" i="1"/>
  <c r="AX488" i="1"/>
  <c r="AT488" i="1"/>
  <c r="AX515" i="1"/>
  <c r="AT515" i="1"/>
  <c r="AX542" i="1"/>
  <c r="AT542" i="1"/>
  <c r="AX572" i="1"/>
  <c r="AT572" i="1"/>
  <c r="AX592" i="1"/>
  <c r="AT592" i="1"/>
  <c r="AX625" i="1"/>
  <c r="AT625" i="1"/>
  <c r="AX637" i="1"/>
  <c r="AT637" i="1"/>
  <c r="AX653" i="1"/>
  <c r="AT653" i="1"/>
  <c r="AX681" i="1"/>
  <c r="AT681" i="1"/>
  <c r="AX692" i="1"/>
  <c r="AT692" i="1"/>
  <c r="AX462" i="1"/>
  <c r="AT462" i="1"/>
  <c r="AX466" i="1"/>
  <c r="AT466" i="1"/>
  <c r="AX215" i="1"/>
  <c r="AT215" i="1"/>
  <c r="AX452" i="1"/>
  <c r="AT452" i="1"/>
  <c r="AW375" i="1"/>
  <c r="T166" i="1"/>
  <c r="N166" i="1" s="1"/>
  <c r="AT166" i="1"/>
  <c r="AX214" i="1"/>
  <c r="AT214" i="1"/>
  <c r="AX320" i="1"/>
  <c r="AT320" i="1"/>
  <c r="AX346" i="1"/>
  <c r="AT346" i="1"/>
  <c r="AX449" i="1"/>
  <c r="AT449" i="1"/>
  <c r="AX460" i="1"/>
  <c r="AT460" i="1"/>
  <c r="AX489" i="1"/>
  <c r="AT489" i="1"/>
  <c r="AX519" i="1"/>
  <c r="AT519" i="1"/>
  <c r="AX544" i="1"/>
  <c r="AT544" i="1"/>
  <c r="AX555" i="1"/>
  <c r="AT555" i="1"/>
  <c r="AX573" i="1"/>
  <c r="AT573" i="1"/>
  <c r="AX583" i="1"/>
  <c r="AT583" i="1"/>
  <c r="AX615" i="1"/>
  <c r="AT615" i="1"/>
  <c r="AX655" i="1"/>
  <c r="AT655" i="1"/>
  <c r="AX672" i="1"/>
  <c r="AT672" i="1"/>
  <c r="AX683" i="1"/>
  <c r="AT683" i="1"/>
  <c r="AX429" i="1"/>
  <c r="AT429" i="1"/>
  <c r="AX106" i="1"/>
  <c r="AT106" i="1"/>
  <c r="T106" i="1"/>
  <c r="AQ694" i="1"/>
  <c r="R694" i="1" s="1"/>
  <c r="AW694" i="1" s="1"/>
  <c r="S393" i="1"/>
  <c r="S480" i="1"/>
  <c r="S62" i="1"/>
  <c r="AT62" i="1" s="1"/>
  <c r="S270" i="1"/>
  <c r="T149" i="1"/>
  <c r="N149" i="1" s="1"/>
  <c r="AQ674" i="1"/>
  <c r="R674" i="1" s="1"/>
  <c r="AW674" i="1" s="1"/>
  <c r="AQ324" i="1"/>
  <c r="R324" i="1" s="1"/>
  <c r="AW324" i="1" s="1"/>
  <c r="T141" i="1"/>
  <c r="N141" i="1" s="1"/>
  <c r="AQ656" i="1"/>
  <c r="AS656" i="1"/>
  <c r="S656" i="1" s="1"/>
  <c r="AQ724" i="1"/>
  <c r="S143" i="1"/>
  <c r="AT143" i="1" s="1"/>
  <c r="S173" i="1"/>
  <c r="AT173" i="1" s="1"/>
  <c r="R428" i="1"/>
  <c r="AW428" i="1" s="1"/>
  <c r="S390" i="1"/>
  <c r="AS682" i="1" s="1"/>
  <c r="S478" i="1"/>
  <c r="AQ323" i="1"/>
  <c r="R323" i="1" s="1"/>
  <c r="AQ274" i="1"/>
  <c r="R274" i="1" s="1"/>
  <c r="AW274" i="1" s="1"/>
  <c r="S479" i="1"/>
  <c r="S96" i="1"/>
  <c r="AT96" i="1" s="1"/>
  <c r="T677" i="1"/>
  <c r="S23" i="1"/>
  <c r="AQ706" i="1"/>
  <c r="R706" i="1" s="1"/>
  <c r="AW706" i="1" s="1"/>
  <c r="AQ496" i="1"/>
  <c r="R496" i="1" s="1"/>
  <c r="AW496" i="1" s="1"/>
  <c r="AQ705" i="1"/>
  <c r="R705" i="1" s="1"/>
  <c r="AW705" i="1" s="1"/>
  <c r="AQ579" i="1"/>
  <c r="R579" i="1" s="1"/>
  <c r="AW579" i="1" s="1"/>
  <c r="AQ699" i="1"/>
  <c r="R699" i="1" s="1"/>
  <c r="AW699" i="1" s="1"/>
  <c r="AQ537" i="1"/>
  <c r="R537" i="1" s="1"/>
  <c r="AW537" i="1" s="1"/>
  <c r="AQ712" i="1"/>
  <c r="R712" i="1" s="1"/>
  <c r="AW712" i="1" s="1"/>
  <c r="T185" i="1"/>
  <c r="AQ700" i="1"/>
  <c r="R700" i="1" s="1"/>
  <c r="AW700" i="1" s="1"/>
  <c r="T186" i="1"/>
  <c r="AQ701" i="1"/>
  <c r="R701" i="1" s="1"/>
  <c r="AW701" i="1" s="1"/>
  <c r="AQ708" i="1"/>
  <c r="R708" i="1" s="1"/>
  <c r="AW708" i="1" s="1"/>
  <c r="T187" i="1"/>
  <c r="AQ702" i="1"/>
  <c r="R702" i="1" s="1"/>
  <c r="AW702" i="1" s="1"/>
  <c r="AQ709" i="1"/>
  <c r="R709" i="1" s="1"/>
  <c r="AW709" i="1" s="1"/>
  <c r="AQ696" i="1"/>
  <c r="R696" i="1" s="1"/>
  <c r="AW696" i="1" s="1"/>
  <c r="AQ721" i="1"/>
  <c r="R721" i="1" s="1"/>
  <c r="AW721" i="1" s="1"/>
  <c r="AQ704" i="1"/>
  <c r="R704" i="1" s="1"/>
  <c r="AW704" i="1" s="1"/>
  <c r="AQ525" i="1"/>
  <c r="R525" i="1" s="1"/>
  <c r="AW525" i="1" s="1"/>
  <c r="AQ547" i="1"/>
  <c r="R547" i="1" s="1"/>
  <c r="AW547" i="1" s="1"/>
  <c r="T201" i="1"/>
  <c r="T121" i="1"/>
  <c r="T51" i="1"/>
  <c r="N165" i="1"/>
  <c r="T182" i="1"/>
  <c r="P697" i="1"/>
  <c r="AU697" i="1" s="1"/>
  <c r="N748" i="1"/>
  <c r="AQ710" i="1"/>
  <c r="AQ715" i="1"/>
  <c r="AQ131" i="1"/>
  <c r="R131" i="1" s="1"/>
  <c r="T148" i="1" s="1"/>
  <c r="N148" i="1" s="1"/>
  <c r="AQ711" i="1"/>
  <c r="AQ734" i="1"/>
  <c r="AQ738" i="1"/>
  <c r="AQ736" i="1"/>
  <c r="AQ490" i="1"/>
  <c r="R490" i="1" s="1"/>
  <c r="AW490" i="1" s="1"/>
  <c r="AQ272" i="1"/>
  <c r="R272" i="1" s="1"/>
  <c r="AQ308" i="1"/>
  <c r="R308" i="1" s="1"/>
  <c r="AW308" i="1" s="1"/>
  <c r="AQ239" i="1"/>
  <c r="R239" i="1" s="1"/>
  <c r="AW239" i="1" s="1"/>
  <c r="R493" i="1"/>
  <c r="AW493" i="1" s="1"/>
  <c r="AQ332" i="1"/>
  <c r="R332" i="1" s="1"/>
  <c r="AQ713" i="1"/>
  <c r="AQ737" i="1"/>
  <c r="AQ313" i="1"/>
  <c r="AQ684" i="1"/>
  <c r="AQ714" i="1"/>
  <c r="AQ507" i="1"/>
  <c r="R507" i="1" s="1"/>
  <c r="AW507" i="1" s="1"/>
  <c r="AQ596" i="1"/>
  <c r="R596" i="1" s="1"/>
  <c r="AW596" i="1" s="1"/>
  <c r="AQ685" i="1"/>
  <c r="R426" i="1"/>
  <c r="AW426" i="1" s="1"/>
  <c r="AQ735" i="1"/>
  <c r="AQ599" i="1"/>
  <c r="R599" i="1" s="1"/>
  <c r="AW599" i="1" s="1"/>
  <c r="R322" i="1"/>
  <c r="AW322" i="1" s="1"/>
  <c r="AQ233" i="1"/>
  <c r="R233" i="1" s="1"/>
  <c r="AW233" i="1" s="1"/>
  <c r="AQ438" i="1"/>
  <c r="AS734" i="1"/>
  <c r="S734" i="1" s="1"/>
  <c r="AS738" i="1"/>
  <c r="S738" i="1" s="1"/>
  <c r="AS131" i="1"/>
  <c r="S131" i="1" s="1"/>
  <c r="AT131" i="1" s="1"/>
  <c r="AS715" i="1"/>
  <c r="S715" i="1" s="1"/>
  <c r="AS736" i="1"/>
  <c r="S736" i="1" s="1"/>
  <c r="AQ595" i="1"/>
  <c r="R595" i="1" s="1"/>
  <c r="AW595" i="1" s="1"/>
  <c r="AQ648" i="1"/>
  <c r="R648" i="1" s="1"/>
  <c r="AW648" i="1" s="1"/>
  <c r="AQ267" i="1"/>
  <c r="R649" i="1"/>
  <c r="AW649" i="1" s="1"/>
  <c r="AQ211" i="1"/>
  <c r="AQ654" i="1"/>
  <c r="R654" i="1" s="1"/>
  <c r="AW654" i="1" s="1"/>
  <c r="AQ527" i="1"/>
  <c r="AQ678" i="1"/>
  <c r="R678" i="1" s="1"/>
  <c r="AW678" i="1" s="1"/>
  <c r="AS557" i="1"/>
  <c r="R424" i="1"/>
  <c r="AW424" i="1" s="1"/>
  <c r="R139" i="1"/>
  <c r="AQ257" i="1"/>
  <c r="R291" i="1"/>
  <c r="AW291" i="1" s="1"/>
  <c r="E645" i="10"/>
  <c r="T645" i="1" s="1"/>
  <c r="AY645" i="1" s="1"/>
  <c r="E646" i="10"/>
  <c r="S646" i="1" s="1"/>
  <c r="AX646" i="1" s="1"/>
  <c r="Y645" i="1"/>
  <c r="AT242" i="1" l="1"/>
  <c r="AP149" i="1"/>
  <c r="AP148" i="1"/>
  <c r="AP166" i="1"/>
  <c r="AP165" i="1"/>
  <c r="AP141" i="1"/>
  <c r="P593" i="1"/>
  <c r="AT646" i="1"/>
  <c r="R313" i="1"/>
  <c r="AW313" i="1" s="1"/>
  <c r="AT84" i="1"/>
  <c r="S392" i="1"/>
  <c r="AX392" i="1" s="1"/>
  <c r="AW323" i="1"/>
  <c r="AQ273" i="1"/>
  <c r="AX292" i="1"/>
  <c r="AT89" i="1"/>
  <c r="AX738" i="1"/>
  <c r="AT738" i="1"/>
  <c r="AX734" i="1"/>
  <c r="AT734" i="1"/>
  <c r="AW332" i="1"/>
  <c r="AX656" i="1"/>
  <c r="AT656" i="1"/>
  <c r="AX736" i="1"/>
  <c r="AT736" i="1"/>
  <c r="AW272" i="1"/>
  <c r="AX715" i="1"/>
  <c r="AT715" i="1"/>
  <c r="N677" i="1"/>
  <c r="AP677" i="1" s="1"/>
  <c r="AY677" i="1"/>
  <c r="AX478" i="1"/>
  <c r="AT478" i="1"/>
  <c r="N106" i="1"/>
  <c r="AY106" i="1"/>
  <c r="T480" i="1"/>
  <c r="AY480" i="1" s="1"/>
  <c r="AX480" i="1"/>
  <c r="AT480" i="1"/>
  <c r="AX479" i="1"/>
  <c r="AX390" i="1"/>
  <c r="AT390" i="1"/>
  <c r="AX393" i="1"/>
  <c r="AT393" i="1"/>
  <c r="T23" i="1"/>
  <c r="N23" i="1" s="1"/>
  <c r="AT23" i="1"/>
  <c r="AX270" i="1"/>
  <c r="AT270" i="1"/>
  <c r="T478" i="1"/>
  <c r="R159" i="1"/>
  <c r="V141" i="1"/>
  <c r="U141" i="1"/>
  <c r="T286" i="1"/>
  <c r="AT154" i="1"/>
  <c r="AS445" i="1"/>
  <c r="AT445" i="1" s="1"/>
  <c r="N185" i="1"/>
  <c r="N182" i="1"/>
  <c r="N51" i="1"/>
  <c r="N187" i="1"/>
  <c r="N121" i="1"/>
  <c r="U748" i="1"/>
  <c r="N201" i="1"/>
  <c r="N186" i="1"/>
  <c r="T479" i="1"/>
  <c r="N108" i="1"/>
  <c r="T96" i="1"/>
  <c r="N645" i="1"/>
  <c r="AP645" i="1" s="1"/>
  <c r="N107" i="1"/>
  <c r="AS590" i="1"/>
  <c r="AT590" i="1" s="1"/>
  <c r="S557" i="1"/>
  <c r="AQ716" i="1"/>
  <c r="R656" i="1"/>
  <c r="AW656" i="1" s="1"/>
  <c r="AQ660" i="1"/>
  <c r="R660" i="1" s="1"/>
  <c r="AW660" i="1" s="1"/>
  <c r="E753" i="10"/>
  <c r="E752" i="10"/>
  <c r="E751" i="10"/>
  <c r="E750" i="10"/>
  <c r="E749" i="10"/>
  <c r="E748" i="10"/>
  <c r="AP748" i="1" s="1"/>
  <c r="E747" i="10"/>
  <c r="R747" i="1" s="1"/>
  <c r="AW747" i="1" s="1"/>
  <c r="E746" i="10"/>
  <c r="E745" i="10"/>
  <c r="E744" i="10"/>
  <c r="E743" i="10"/>
  <c r="R743" i="1" s="1"/>
  <c r="AW743" i="1" s="1"/>
  <c r="E742" i="10"/>
  <c r="E741" i="10"/>
  <c r="E740" i="10"/>
  <c r="R740" i="1" s="1"/>
  <c r="AW740" i="1" s="1"/>
  <c r="E738" i="10"/>
  <c r="E737" i="10"/>
  <c r="E736" i="10"/>
  <c r="T736" i="1" s="1"/>
  <c r="E735" i="10"/>
  <c r="P735" i="1" s="1"/>
  <c r="AU735" i="1" s="1"/>
  <c r="E734" i="10"/>
  <c r="T734" i="1" s="1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T715" i="1" s="1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S684" i="1" s="1"/>
  <c r="E683" i="10"/>
  <c r="E682" i="10"/>
  <c r="E681" i="10"/>
  <c r="E680" i="10"/>
  <c r="E679" i="10"/>
  <c r="E678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T655" i="1" s="1"/>
  <c r="E654" i="10"/>
  <c r="S654" i="1" s="1"/>
  <c r="E653" i="10"/>
  <c r="E131" i="10"/>
  <c r="T147" i="1" s="1"/>
  <c r="E652" i="10"/>
  <c r="E651" i="10"/>
  <c r="E650" i="10"/>
  <c r="E649" i="10"/>
  <c r="E648" i="10"/>
  <c r="E647" i="10"/>
  <c r="T647" i="1" s="1"/>
  <c r="AY647" i="1" s="1"/>
  <c r="E644" i="10"/>
  <c r="E643" i="10"/>
  <c r="E641" i="10"/>
  <c r="E640" i="10"/>
  <c r="E639" i="10"/>
  <c r="R639" i="1" s="1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S30" i="1" s="1"/>
  <c r="AT30" i="1" s="1"/>
  <c r="E603" i="10"/>
  <c r="E602" i="10"/>
  <c r="E601" i="10"/>
  <c r="E600" i="10"/>
  <c r="E599" i="10"/>
  <c r="E597" i="10"/>
  <c r="E596" i="10"/>
  <c r="E595" i="10"/>
  <c r="E594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T580" i="1" s="1"/>
  <c r="AY580" i="1" s="1"/>
  <c r="E579" i="10"/>
  <c r="E578" i="10"/>
  <c r="E577" i="10"/>
  <c r="E576" i="10"/>
  <c r="E575" i="10"/>
  <c r="T575" i="1" s="1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S28" i="1" s="1"/>
  <c r="AT28" i="1" s="1"/>
  <c r="E562" i="10"/>
  <c r="E561" i="10"/>
  <c r="E560" i="10"/>
  <c r="E559" i="10"/>
  <c r="E558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0" i="10"/>
  <c r="E539" i="10"/>
  <c r="E537" i="10"/>
  <c r="E535" i="10"/>
  <c r="E533" i="10"/>
  <c r="P538" i="1" s="1"/>
  <c r="E532" i="10"/>
  <c r="E531" i="10"/>
  <c r="E530" i="10"/>
  <c r="E529" i="10"/>
  <c r="AP534" i="1" s="1"/>
  <c r="E528" i="10"/>
  <c r="E527" i="10"/>
  <c r="E526" i="10"/>
  <c r="E525" i="10"/>
  <c r="E524" i="10"/>
  <c r="E523" i="10"/>
  <c r="E522" i="10"/>
  <c r="E521" i="10"/>
  <c r="E519" i="10"/>
  <c r="E518" i="10"/>
  <c r="E515" i="10"/>
  <c r="E514" i="10"/>
  <c r="E513" i="10"/>
  <c r="E512" i="10"/>
  <c r="E511" i="10"/>
  <c r="E509" i="10"/>
  <c r="E508" i="10"/>
  <c r="E507" i="10"/>
  <c r="E506" i="10"/>
  <c r="E505" i="10"/>
  <c r="E500" i="10"/>
  <c r="E497" i="10"/>
  <c r="S502" i="1" s="1"/>
  <c r="E496" i="10"/>
  <c r="S501" i="1" s="1"/>
  <c r="E494" i="10"/>
  <c r="S499" i="1" s="1"/>
  <c r="E493" i="10"/>
  <c r="S498" i="1" s="1"/>
  <c r="E492" i="10"/>
  <c r="E491" i="10"/>
  <c r="E490" i="10"/>
  <c r="S495" i="1" s="1"/>
  <c r="E489" i="10"/>
  <c r="E488" i="10"/>
  <c r="E487" i="10"/>
  <c r="S26" i="1" s="1"/>
  <c r="E486" i="10"/>
  <c r="E485" i="10"/>
  <c r="E484" i="10"/>
  <c r="E483" i="10"/>
  <c r="E482" i="10"/>
  <c r="E192" i="10"/>
  <c r="E469" i="10"/>
  <c r="S476" i="1" s="1"/>
  <c r="AX476" i="1" s="1"/>
  <c r="E468" i="10"/>
  <c r="E467" i="10"/>
  <c r="S475" i="1" s="1"/>
  <c r="AX475" i="1" s="1"/>
  <c r="E466" i="10"/>
  <c r="E465" i="10"/>
  <c r="E464" i="10"/>
  <c r="E463" i="10"/>
  <c r="E462" i="10"/>
  <c r="S470" i="1" s="1"/>
  <c r="T470" i="1" s="1"/>
  <c r="AY470" i="1" s="1"/>
  <c r="E179" i="10"/>
  <c r="R195" i="1" s="1"/>
  <c r="E461" i="10"/>
  <c r="E460" i="10"/>
  <c r="E459" i="10"/>
  <c r="E458" i="10"/>
  <c r="T458" i="1" s="1"/>
  <c r="AY458" i="1" s="1"/>
  <c r="E457" i="10"/>
  <c r="E456" i="10"/>
  <c r="E455" i="10"/>
  <c r="E454" i="10"/>
  <c r="E453" i="10"/>
  <c r="E452" i="10"/>
  <c r="E449" i="10"/>
  <c r="E448" i="10"/>
  <c r="E447" i="10"/>
  <c r="E446" i="10"/>
  <c r="E445" i="10"/>
  <c r="E443" i="10"/>
  <c r="S451" i="1" s="1"/>
  <c r="AX451" i="1" s="1"/>
  <c r="E442" i="10"/>
  <c r="E441" i="10"/>
  <c r="E440" i="10"/>
  <c r="E438" i="10"/>
  <c r="E437" i="10"/>
  <c r="E436" i="10"/>
  <c r="E435" i="10"/>
  <c r="E433" i="10"/>
  <c r="E432" i="10"/>
  <c r="E431" i="10"/>
  <c r="S439" i="1" s="1"/>
  <c r="AT439" i="1" s="1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7" i="10"/>
  <c r="E416" i="10"/>
  <c r="E415" i="10"/>
  <c r="E414" i="10"/>
  <c r="E413" i="10"/>
  <c r="E412" i="10"/>
  <c r="E411" i="10"/>
  <c r="E410" i="10"/>
  <c r="R418" i="1" s="1"/>
  <c r="N418" i="1" s="1"/>
  <c r="E409" i="10"/>
  <c r="E408" i="10"/>
  <c r="E407" i="10"/>
  <c r="E406" i="10"/>
  <c r="E405" i="10"/>
  <c r="E404" i="10"/>
  <c r="E403" i="10"/>
  <c r="E402" i="10"/>
  <c r="E401" i="10"/>
  <c r="E400" i="10"/>
  <c r="E398" i="10"/>
  <c r="E397" i="10"/>
  <c r="E396" i="10"/>
  <c r="E394" i="10"/>
  <c r="E381" i="10"/>
  <c r="S389" i="1" s="1"/>
  <c r="AX389" i="1" s="1"/>
  <c r="E379" i="10"/>
  <c r="E378" i="10"/>
  <c r="E377" i="10"/>
  <c r="E376" i="10"/>
  <c r="S384" i="1" s="1"/>
  <c r="N384" i="1" s="1"/>
  <c r="AP384" i="1" s="1"/>
  <c r="E375" i="10"/>
  <c r="R383" i="1" s="1"/>
  <c r="N383" i="1" s="1"/>
  <c r="E374" i="10"/>
  <c r="R382" i="1" s="1"/>
  <c r="N382" i="1" s="1"/>
  <c r="E373" i="10"/>
  <c r="E372" i="10"/>
  <c r="R380" i="1" s="1"/>
  <c r="N380" i="1" s="1"/>
  <c r="E370" i="10"/>
  <c r="E369" i="10"/>
  <c r="E368" i="10"/>
  <c r="E367" i="10"/>
  <c r="E366" i="10"/>
  <c r="E363" i="10"/>
  <c r="E362" i="10"/>
  <c r="E361" i="10"/>
  <c r="E360" i="10"/>
  <c r="E359" i="10"/>
  <c r="E358" i="10"/>
  <c r="E357" i="10"/>
  <c r="R365" i="1" s="1"/>
  <c r="N365" i="1" s="1"/>
  <c r="E355" i="10"/>
  <c r="E356" i="10"/>
  <c r="R364" i="1" s="1"/>
  <c r="N364" i="1" s="1"/>
  <c r="E353" i="10"/>
  <c r="E352" i="10"/>
  <c r="E351" i="10"/>
  <c r="E346" i="10"/>
  <c r="T354" i="1" s="1"/>
  <c r="N354" i="1" s="1"/>
  <c r="E130" i="10"/>
  <c r="E345" i="10"/>
  <c r="E344" i="10"/>
  <c r="E343" i="10"/>
  <c r="E341" i="10"/>
  <c r="S349" i="1" s="1"/>
  <c r="T349" i="1" s="1"/>
  <c r="N349" i="1" s="1"/>
  <c r="E340" i="10"/>
  <c r="E339" i="10"/>
  <c r="E337" i="10"/>
  <c r="E336" i="10"/>
  <c r="E334" i="10"/>
  <c r="E333" i="10"/>
  <c r="E332" i="10"/>
  <c r="E330" i="10"/>
  <c r="E328" i="10"/>
  <c r="E327" i="10"/>
  <c r="T327" i="1" s="1"/>
  <c r="AY327" i="1" s="1"/>
  <c r="E326" i="10"/>
  <c r="E116" i="10"/>
  <c r="S132" i="1" s="1"/>
  <c r="N132" i="1" s="1"/>
  <c r="E115" i="10"/>
  <c r="E325" i="10"/>
  <c r="E112" i="10"/>
  <c r="E322" i="10"/>
  <c r="E321" i="10"/>
  <c r="E109" i="10"/>
  <c r="S125" i="1" s="1"/>
  <c r="AT125" i="1" s="1"/>
  <c r="E320" i="10"/>
  <c r="E319" i="10"/>
  <c r="E318" i="10"/>
  <c r="E317" i="10"/>
  <c r="E316" i="10"/>
  <c r="E315" i="10"/>
  <c r="R315" i="1" s="1"/>
  <c r="AW315" i="1" s="1"/>
  <c r="E314" i="10"/>
  <c r="E313" i="10"/>
  <c r="E312" i="10"/>
  <c r="E308" i="10"/>
  <c r="E309" i="10"/>
  <c r="E303" i="10"/>
  <c r="S311" i="1" s="1"/>
  <c r="E302" i="10"/>
  <c r="S310" i="1" s="1"/>
  <c r="AX310" i="1" s="1"/>
  <c r="E301" i="10"/>
  <c r="E299" i="10"/>
  <c r="P307" i="1" s="1"/>
  <c r="AU307" i="1" s="1"/>
  <c r="E298" i="10"/>
  <c r="S306" i="1" s="1"/>
  <c r="E95" i="10"/>
  <c r="E297" i="10"/>
  <c r="S305" i="1" s="1"/>
  <c r="N305" i="1" s="1"/>
  <c r="E296" i="10"/>
  <c r="T304" i="1" s="1"/>
  <c r="AY304" i="1" s="1"/>
  <c r="E293" i="10"/>
  <c r="E291" i="10"/>
  <c r="S300" i="1" s="1"/>
  <c r="AT300" i="1" s="1"/>
  <c r="E290" i="10"/>
  <c r="E289" i="10"/>
  <c r="E288" i="10"/>
  <c r="E285" i="10"/>
  <c r="S294" i="1" s="1"/>
  <c r="AX294" i="1" s="1"/>
  <c r="E284" i="10"/>
  <c r="E283" i="10"/>
  <c r="T292" i="1" s="1"/>
  <c r="E282" i="10"/>
  <c r="E281" i="10"/>
  <c r="E280" i="10"/>
  <c r="E279" i="10"/>
  <c r="E78" i="10"/>
  <c r="S78" i="1" s="1"/>
  <c r="E272" i="10"/>
  <c r="E69" i="10"/>
  <c r="S86" i="1" s="1"/>
  <c r="AS292" i="1" s="1"/>
  <c r="AT292" i="1" s="1"/>
  <c r="E269" i="10"/>
  <c r="E267" i="10"/>
  <c r="S277" i="1" s="1"/>
  <c r="AX277" i="1" s="1"/>
  <c r="E55" i="10"/>
  <c r="E265" i="10"/>
  <c r="S275" i="1" s="1"/>
  <c r="E264" i="10"/>
  <c r="S274" i="1" s="1"/>
  <c r="E263" i="10"/>
  <c r="S273" i="1" s="1"/>
  <c r="E262" i="10"/>
  <c r="E261" i="10"/>
  <c r="S271" i="1" s="1"/>
  <c r="E259" i="10"/>
  <c r="E257" i="10"/>
  <c r="E256" i="10"/>
  <c r="S266" i="1" s="1"/>
  <c r="AX266" i="1" s="1"/>
  <c r="E255" i="10"/>
  <c r="E253" i="10"/>
  <c r="E252" i="10"/>
  <c r="E251" i="10"/>
  <c r="E248" i="10"/>
  <c r="E247" i="10"/>
  <c r="E246" i="10"/>
  <c r="E244" i="10"/>
  <c r="E243" i="10"/>
  <c r="E241" i="10"/>
  <c r="E240" i="10"/>
  <c r="S250" i="1" s="1"/>
  <c r="E239" i="10"/>
  <c r="S249" i="1" s="1"/>
  <c r="E238" i="10"/>
  <c r="E236" i="10"/>
  <c r="E233" i="10"/>
  <c r="E230" i="10"/>
  <c r="E228" i="10"/>
  <c r="E227" i="10"/>
  <c r="E225" i="10"/>
  <c r="E224" i="10"/>
  <c r="E223" i="10"/>
  <c r="E222" i="10"/>
  <c r="E221" i="10"/>
  <c r="E220" i="10"/>
  <c r="E219" i="10"/>
  <c r="S22" i="1" s="1"/>
  <c r="AT22" i="1" s="1"/>
  <c r="E218" i="10"/>
  <c r="E217" i="10"/>
  <c r="E216" i="10"/>
  <c r="T19" i="1" s="1"/>
  <c r="N19" i="1" s="1"/>
  <c r="E215" i="10"/>
  <c r="T18" i="1" s="1"/>
  <c r="N18" i="1" s="1"/>
  <c r="E214" i="10"/>
  <c r="E212" i="10"/>
  <c r="E211" i="10"/>
  <c r="E210" i="10"/>
  <c r="E209" i="10"/>
  <c r="E208" i="10"/>
  <c r="S135" i="1"/>
  <c r="AT135" i="1" s="1"/>
  <c r="AP201" i="1" l="1"/>
  <c r="AP23" i="1"/>
  <c r="AP107" i="1"/>
  <c r="AP121" i="1"/>
  <c r="U106" i="1"/>
  <c r="AP51" i="1"/>
  <c r="AP18" i="1"/>
  <c r="AP132" i="1"/>
  <c r="AP108" i="1"/>
  <c r="AP19" i="1"/>
  <c r="N593" i="1"/>
  <c r="AP593" i="1" s="1"/>
  <c r="T590" i="1"/>
  <c r="AY590" i="1" s="1"/>
  <c r="T419" i="1"/>
  <c r="N419" i="1" s="1"/>
  <c r="AP419" i="1" s="1"/>
  <c r="T588" i="1"/>
  <c r="AY588" i="1" s="1"/>
  <c r="T597" i="1"/>
  <c r="T573" i="1"/>
  <c r="N573" i="1" s="1"/>
  <c r="AP573" i="1" s="1"/>
  <c r="P528" i="1"/>
  <c r="AU528" i="1" s="1"/>
  <c r="S567" i="1"/>
  <c r="AT567" i="1" s="1"/>
  <c r="T617" i="1"/>
  <c r="N617" i="1" s="1"/>
  <c r="AP617" i="1" s="1"/>
  <c r="T625" i="1"/>
  <c r="AY625" i="1" s="1"/>
  <c r="AT273" i="1"/>
  <c r="N273" i="1"/>
  <c r="AS613" i="1"/>
  <c r="S613" i="1" s="1"/>
  <c r="AT306" i="1"/>
  <c r="N306" i="1"/>
  <c r="V418" i="1"/>
  <c r="AP418" i="1"/>
  <c r="U418" i="1"/>
  <c r="S427" i="1"/>
  <c r="AX427" i="1" s="1"/>
  <c r="S444" i="1"/>
  <c r="T444" i="1" s="1"/>
  <c r="AY444" i="1" s="1"/>
  <c r="R471" i="1"/>
  <c r="AW471" i="1" s="1"/>
  <c r="T311" i="1"/>
  <c r="N311" i="1" s="1"/>
  <c r="AP311" i="1" s="1"/>
  <c r="T475" i="1"/>
  <c r="AY475" i="1" s="1"/>
  <c r="AX470" i="1"/>
  <c r="AX439" i="1"/>
  <c r="AX300" i="1"/>
  <c r="S237" i="1"/>
  <c r="AT237" i="1" s="1"/>
  <c r="S348" i="1"/>
  <c r="T348" i="1" s="1"/>
  <c r="N348" i="1" s="1"/>
  <c r="AP380" i="1"/>
  <c r="V380" i="1"/>
  <c r="U380" i="1"/>
  <c r="R472" i="1"/>
  <c r="S472" i="1" s="1"/>
  <c r="T555" i="1"/>
  <c r="AY555" i="1" s="1"/>
  <c r="T589" i="1"/>
  <c r="N589" i="1" s="1"/>
  <c r="AP589" i="1" s="1"/>
  <c r="AT86" i="1"/>
  <c r="AT476" i="1"/>
  <c r="U384" i="1"/>
  <c r="N389" i="1"/>
  <c r="AP389" i="1" s="1"/>
  <c r="AX275" i="1"/>
  <c r="AT275" i="1"/>
  <c r="S290" i="1"/>
  <c r="AT290" i="1" s="1"/>
  <c r="AP349" i="1"/>
  <c r="V349" i="1"/>
  <c r="U349" i="1"/>
  <c r="R473" i="1"/>
  <c r="S473" i="1" s="1"/>
  <c r="R582" i="1"/>
  <c r="AW582" i="1" s="1"/>
  <c r="AT266" i="1"/>
  <c r="N86" i="1"/>
  <c r="N470" i="1"/>
  <c r="AP470" i="1" s="1"/>
  <c r="V384" i="1"/>
  <c r="AT389" i="1"/>
  <c r="AX384" i="1"/>
  <c r="AT250" i="1"/>
  <c r="N250" i="1"/>
  <c r="AP250" i="1" s="1"/>
  <c r="T244" i="1"/>
  <c r="AY244" i="1" s="1"/>
  <c r="AP254" i="1"/>
  <c r="AP364" i="1"/>
  <c r="U364" i="1"/>
  <c r="V364" i="1"/>
  <c r="AP382" i="1"/>
  <c r="U382" i="1"/>
  <c r="V382" i="1"/>
  <c r="R474" i="1"/>
  <c r="AW474" i="1" s="1"/>
  <c r="AT498" i="1"/>
  <c r="N498" i="1"/>
  <c r="T519" i="1"/>
  <c r="N519" i="1" s="1"/>
  <c r="AP519" i="1" s="1"/>
  <c r="N575" i="1"/>
  <c r="AP575" i="1" s="1"/>
  <c r="T29" i="1"/>
  <c r="N29" i="1" s="1"/>
  <c r="T591" i="1"/>
  <c r="N591" i="1" s="1"/>
  <c r="AP591" i="1" s="1"/>
  <c r="T476" i="1"/>
  <c r="N476" i="1" s="1"/>
  <c r="AT475" i="1"/>
  <c r="AT310" i="1"/>
  <c r="AT451" i="1"/>
  <c r="R231" i="1"/>
  <c r="AW231" i="1" s="1"/>
  <c r="AX311" i="1"/>
  <c r="AT311" i="1"/>
  <c r="U383" i="1"/>
  <c r="AP383" i="1"/>
  <c r="V383" i="1"/>
  <c r="N499" i="1"/>
  <c r="AP499" i="1" s="1"/>
  <c r="AT499" i="1"/>
  <c r="S540" i="1"/>
  <c r="AT540" i="1" s="1"/>
  <c r="AS724" i="1"/>
  <c r="AT384" i="1"/>
  <c r="S232" i="1"/>
  <c r="AT232" i="1" s="1"/>
  <c r="V365" i="1"/>
  <c r="U365" i="1"/>
  <c r="AP365" i="1"/>
  <c r="T453" i="1"/>
  <c r="AY453" i="1" s="1"/>
  <c r="AT26" i="1"/>
  <c r="N26" i="1"/>
  <c r="AT501" i="1"/>
  <c r="N501" i="1"/>
  <c r="AP501" i="1" s="1"/>
  <c r="T551" i="1"/>
  <c r="AY551" i="1" s="1"/>
  <c r="S585" i="1"/>
  <c r="AX585" i="1" s="1"/>
  <c r="AT271" i="1"/>
  <c r="N271" i="1"/>
  <c r="V305" i="1"/>
  <c r="AP305" i="1"/>
  <c r="U305" i="1"/>
  <c r="AT502" i="1"/>
  <c r="N502" i="1"/>
  <c r="AP502" i="1" s="1"/>
  <c r="T544" i="1"/>
  <c r="AY544" i="1" s="1"/>
  <c r="T439" i="1"/>
  <c r="AY439" i="1" s="1"/>
  <c r="R234" i="1"/>
  <c r="AW234" i="1" s="1"/>
  <c r="AT249" i="1"/>
  <c r="N249" i="1"/>
  <c r="AP249" i="1" s="1"/>
  <c r="S272" i="1"/>
  <c r="R95" i="1"/>
  <c r="AQ606" i="1" s="1"/>
  <c r="R606" i="1" s="1"/>
  <c r="AW606" i="1" s="1"/>
  <c r="S111" i="1"/>
  <c r="AP354" i="1"/>
  <c r="U354" i="1"/>
  <c r="V354" i="1"/>
  <c r="S378" i="1"/>
  <c r="T455" i="1"/>
  <c r="AY455" i="1" s="1"/>
  <c r="T489" i="1"/>
  <c r="N489" i="1" s="1"/>
  <c r="AP489" i="1" s="1"/>
  <c r="S524" i="1"/>
  <c r="N524" i="1" s="1"/>
  <c r="AP524" i="1" s="1"/>
  <c r="P613" i="1"/>
  <c r="AU613" i="1" s="1"/>
  <c r="AT470" i="1"/>
  <c r="N55" i="1"/>
  <c r="AP55" i="1" s="1"/>
  <c r="V470" i="1"/>
  <c r="AS287" i="1"/>
  <c r="S287" i="1" s="1"/>
  <c r="AT78" i="1"/>
  <c r="N294" i="1"/>
  <c r="AP294" i="1" s="1"/>
  <c r="AP106" i="1"/>
  <c r="V106" i="1"/>
  <c r="AT294" i="1"/>
  <c r="N480" i="1"/>
  <c r="AP480" i="1" s="1"/>
  <c r="U677" i="1"/>
  <c r="AX557" i="1"/>
  <c r="AT557" i="1"/>
  <c r="N736" i="1"/>
  <c r="AP736" i="1" s="1"/>
  <c r="AY736" i="1"/>
  <c r="N292" i="1"/>
  <c r="AP292" i="1" s="1"/>
  <c r="AY292" i="1"/>
  <c r="AX567" i="1"/>
  <c r="AY575" i="1"/>
  <c r="N734" i="1"/>
  <c r="AP734" i="1" s="1"/>
  <c r="AY734" i="1"/>
  <c r="N655" i="1"/>
  <c r="AP655" i="1" s="1"/>
  <c r="AY655" i="1"/>
  <c r="N646" i="1"/>
  <c r="AP646" i="1" s="1"/>
  <c r="AU646" i="1"/>
  <c r="T105" i="1"/>
  <c r="N105" i="1" s="1"/>
  <c r="S639" i="1"/>
  <c r="N639" i="1" s="1"/>
  <c r="AP639" i="1" s="1"/>
  <c r="AW639" i="1"/>
  <c r="N715" i="1"/>
  <c r="AP715" i="1" s="1"/>
  <c r="AY715" i="1"/>
  <c r="N479" i="1"/>
  <c r="AP479" i="1" s="1"/>
  <c r="AY479" i="1"/>
  <c r="N286" i="1"/>
  <c r="AP286" i="1" s="1"/>
  <c r="AY286" i="1"/>
  <c r="AX274" i="1"/>
  <c r="N555" i="1"/>
  <c r="AP555" i="1" s="1"/>
  <c r="N478" i="1"/>
  <c r="AP478" i="1" s="1"/>
  <c r="AY478" i="1"/>
  <c r="T532" i="1"/>
  <c r="P329" i="1"/>
  <c r="T174" i="1"/>
  <c r="N174" i="1" s="1"/>
  <c r="T491" i="1"/>
  <c r="N96" i="1"/>
  <c r="T296" i="1"/>
  <c r="T318" i="1"/>
  <c r="P334" i="1"/>
  <c r="T423" i="1"/>
  <c r="T452" i="1"/>
  <c r="T449" i="1"/>
  <c r="R224" i="1"/>
  <c r="AW224" i="1" s="1"/>
  <c r="T217" i="1"/>
  <c r="T297" i="1"/>
  <c r="T415" i="1"/>
  <c r="T468" i="1"/>
  <c r="S253" i="1"/>
  <c r="T312" i="1"/>
  <c r="T320" i="1"/>
  <c r="T326" i="1"/>
  <c r="R337" i="1"/>
  <c r="S358" i="1"/>
  <c r="T255" i="1"/>
  <c r="T339" i="1"/>
  <c r="T462" i="1"/>
  <c r="R314" i="1"/>
  <c r="T463" i="1"/>
  <c r="S212" i="1"/>
  <c r="S361" i="1"/>
  <c r="S437" i="1"/>
  <c r="T274" i="1"/>
  <c r="AY274" i="1" s="1"/>
  <c r="T259" i="1"/>
  <c r="S332" i="1"/>
  <c r="T373" i="1"/>
  <c r="T412" i="1"/>
  <c r="T429" i="1"/>
  <c r="T465" i="1"/>
  <c r="P289" i="1"/>
  <c r="AU289" i="1" s="1"/>
  <c r="P753" i="1"/>
  <c r="P676" i="1"/>
  <c r="T752" i="1"/>
  <c r="T672" i="1"/>
  <c r="S657" i="1"/>
  <c r="T641" i="1"/>
  <c r="P659" i="1"/>
  <c r="P667" i="1"/>
  <c r="S675" i="1"/>
  <c r="S375" i="1"/>
  <c r="S351" i="1"/>
  <c r="S552" i="1"/>
  <c r="S514" i="1"/>
  <c r="S210" i="1"/>
  <c r="T644" i="1"/>
  <c r="U645" i="1"/>
  <c r="AD645" i="1"/>
  <c r="T687" i="1"/>
  <c r="T650" i="1"/>
  <c r="T680" i="1"/>
  <c r="T688" i="1"/>
  <c r="T571" i="1"/>
  <c r="T679" i="1"/>
  <c r="S461" i="1"/>
  <c r="S179" i="1"/>
  <c r="T640" i="1"/>
  <c r="T681" i="1"/>
  <c r="T689" i="1"/>
  <c r="T131" i="1"/>
  <c r="T690" i="1"/>
  <c r="T707" i="1"/>
  <c r="T738" i="1"/>
  <c r="S436" i="1"/>
  <c r="T683" i="1"/>
  <c r="T691" i="1"/>
  <c r="T716" i="1"/>
  <c r="T653" i="1"/>
  <c r="T661" i="1"/>
  <c r="T692" i="1"/>
  <c r="T717" i="1"/>
  <c r="T725" i="1"/>
  <c r="T693" i="1"/>
  <c r="T686" i="1"/>
  <c r="T656" i="1"/>
  <c r="AS620" i="1"/>
  <c r="S620" i="1" s="1"/>
  <c r="N177" i="1"/>
  <c r="AP177" i="1" s="1"/>
  <c r="S129" i="1"/>
  <c r="AT129" i="1" s="1"/>
  <c r="S167" i="1"/>
  <c r="AT167" i="1" s="1"/>
  <c r="T586" i="1"/>
  <c r="N458" i="1"/>
  <c r="AP458" i="1" s="1"/>
  <c r="S695" i="1"/>
  <c r="S696" i="1"/>
  <c r="S413" i="1"/>
  <c r="S199" i="1"/>
  <c r="AT199" i="1" s="1"/>
  <c r="S198" i="1"/>
  <c r="AT198" i="1" s="1"/>
  <c r="R193" i="1"/>
  <c r="S447" i="1"/>
  <c r="T160" i="1"/>
  <c r="T158" i="1"/>
  <c r="S156" i="1"/>
  <c r="S152" i="1"/>
  <c r="AS392" i="1" s="1"/>
  <c r="AT392" i="1" s="1"/>
  <c r="R371" i="1"/>
  <c r="S139" i="1"/>
  <c r="AT139" i="1" s="1"/>
  <c r="S128" i="1"/>
  <c r="S119" i="1"/>
  <c r="AT119" i="1" s="1"/>
  <c r="S118" i="1"/>
  <c r="AT118" i="1" s="1"/>
  <c r="S104" i="1"/>
  <c r="AT104" i="1" s="1"/>
  <c r="S102" i="1"/>
  <c r="R92" i="1"/>
  <c r="S116" i="1" s="1"/>
  <c r="AT116" i="1" s="1"/>
  <c r="S90" i="1"/>
  <c r="AT90" i="1" s="1"/>
  <c r="S68" i="1"/>
  <c r="AT68" i="1" s="1"/>
  <c r="S59" i="1"/>
  <c r="AT59" i="1" s="1"/>
  <c r="R53" i="1"/>
  <c r="S42" i="1"/>
  <c r="AT42" i="1" s="1"/>
  <c r="S220" i="1"/>
  <c r="S227" i="1"/>
  <c r="S236" i="1"/>
  <c r="S239" i="1"/>
  <c r="S241" i="1"/>
  <c r="S247" i="1"/>
  <c r="S251" i="1"/>
  <c r="AT251" i="1" s="1"/>
  <c r="S262" i="1"/>
  <c r="S264" i="1"/>
  <c r="R280" i="1"/>
  <c r="AW280" i="1" s="1"/>
  <c r="S282" i="1"/>
  <c r="R284" i="1"/>
  <c r="AW284" i="1" s="1"/>
  <c r="R288" i="1"/>
  <c r="AW288" i="1" s="1"/>
  <c r="S308" i="1"/>
  <c r="S315" i="1"/>
  <c r="R317" i="1"/>
  <c r="AW317" i="1" s="1"/>
  <c r="S322" i="1"/>
  <c r="R333" i="1"/>
  <c r="AW333" i="1" s="1"/>
  <c r="R336" i="1"/>
  <c r="AW336" i="1" s="1"/>
  <c r="R130" i="1"/>
  <c r="S357" i="1"/>
  <c r="S359" i="1"/>
  <c r="S363" i="1"/>
  <c r="S367" i="1"/>
  <c r="S369" i="1"/>
  <c r="S372" i="1"/>
  <c r="S374" i="1"/>
  <c r="S381" i="1"/>
  <c r="S396" i="1"/>
  <c r="S398" i="1"/>
  <c r="S401" i="1"/>
  <c r="S405" i="1"/>
  <c r="S409" i="1"/>
  <c r="S416" i="1"/>
  <c r="S422" i="1"/>
  <c r="S424" i="1"/>
  <c r="S426" i="1"/>
  <c r="S430" i="1"/>
  <c r="S432" i="1"/>
  <c r="S435" i="1"/>
  <c r="S454" i="1"/>
  <c r="S192" i="1"/>
  <c r="AT192" i="1" s="1"/>
  <c r="S484" i="1"/>
  <c r="S486" i="1"/>
  <c r="S500" i="1"/>
  <c r="S513" i="1"/>
  <c r="T523" i="1"/>
  <c r="S527" i="1"/>
  <c r="S529" i="1"/>
  <c r="S531" i="1"/>
  <c r="S533" i="1"/>
  <c r="S548" i="1"/>
  <c r="S550" i="1"/>
  <c r="S554" i="1"/>
  <c r="S559" i="1"/>
  <c r="S563" i="1"/>
  <c r="S565" i="1"/>
  <c r="S569" i="1"/>
  <c r="S577" i="1"/>
  <c r="S579" i="1"/>
  <c r="S600" i="1"/>
  <c r="R602" i="1"/>
  <c r="S608" i="1"/>
  <c r="S624" i="1"/>
  <c r="R630" i="1"/>
  <c r="S632" i="1"/>
  <c r="P634" i="1"/>
  <c r="S652" i="1"/>
  <c r="S719" i="1"/>
  <c r="S721" i="1"/>
  <c r="S723" i="1"/>
  <c r="T727" i="1"/>
  <c r="T729" i="1"/>
  <c r="T731" i="1"/>
  <c r="S202" i="1"/>
  <c r="AT202" i="1" s="1"/>
  <c r="S195" i="1"/>
  <c r="AT195" i="1" s="1"/>
  <c r="S440" i="1"/>
  <c r="S170" i="1"/>
  <c r="AT170" i="1" s="1"/>
  <c r="S157" i="1"/>
  <c r="AT157" i="1" s="1"/>
  <c r="S155" i="1"/>
  <c r="AT155" i="1" s="1"/>
  <c r="S151" i="1"/>
  <c r="S123" i="1"/>
  <c r="R120" i="1"/>
  <c r="S140" i="1" s="1"/>
  <c r="S103" i="1"/>
  <c r="AT103" i="1" s="1"/>
  <c r="S101" i="1"/>
  <c r="S94" i="1"/>
  <c r="S87" i="1"/>
  <c r="AT87" i="1" s="1"/>
  <c r="S82" i="1"/>
  <c r="AT82" i="1" s="1"/>
  <c r="S73" i="1"/>
  <c r="S40" i="1"/>
  <c r="AT40" i="1" s="1"/>
  <c r="R31" i="1"/>
  <c r="S25" i="1"/>
  <c r="AT25" i="1" s="1"/>
  <c r="S21" i="1"/>
  <c r="AT21" i="1" s="1"/>
  <c r="S208" i="1"/>
  <c r="S221" i="1"/>
  <c r="S223" i="1"/>
  <c r="S228" i="1"/>
  <c r="S233" i="1"/>
  <c r="S238" i="1"/>
  <c r="S240" i="1"/>
  <c r="S243" i="1"/>
  <c r="S246" i="1"/>
  <c r="S248" i="1"/>
  <c r="S252" i="1"/>
  <c r="S257" i="1"/>
  <c r="S261" i="1"/>
  <c r="S263" i="1"/>
  <c r="S265" i="1"/>
  <c r="R69" i="1"/>
  <c r="S283" i="1"/>
  <c r="S299" i="1"/>
  <c r="S302" i="1"/>
  <c r="N304" i="1"/>
  <c r="AP304" i="1" s="1"/>
  <c r="R321" i="1"/>
  <c r="AW321" i="1" s="1"/>
  <c r="S112" i="1"/>
  <c r="R328" i="1"/>
  <c r="AW328" i="1" s="1"/>
  <c r="S343" i="1"/>
  <c r="S360" i="1"/>
  <c r="S366" i="1"/>
  <c r="S368" i="1"/>
  <c r="S370" i="1"/>
  <c r="S377" i="1"/>
  <c r="S379" i="1"/>
  <c r="S394" i="1"/>
  <c r="S400" i="1"/>
  <c r="S402" i="1"/>
  <c r="S404" i="1"/>
  <c r="S406" i="1"/>
  <c r="S410" i="1"/>
  <c r="S417" i="1"/>
  <c r="S421" i="1"/>
  <c r="S425" i="1"/>
  <c r="S431" i="1"/>
  <c r="S433" i="1"/>
  <c r="S457" i="1"/>
  <c r="S459" i="1"/>
  <c r="S482" i="1"/>
  <c r="S483" i="1"/>
  <c r="S485" i="1"/>
  <c r="T487" i="1"/>
  <c r="AY487" i="1" s="1"/>
  <c r="S493" i="1"/>
  <c r="S497" i="1"/>
  <c r="S505" i="1"/>
  <c r="S509" i="1"/>
  <c r="S512" i="1"/>
  <c r="S526" i="1"/>
  <c r="S530" i="1"/>
  <c r="S535" i="1"/>
  <c r="S539" i="1"/>
  <c r="S543" i="1"/>
  <c r="S545" i="1"/>
  <c r="P558" i="1"/>
  <c r="P560" i="1"/>
  <c r="S564" i="1"/>
  <c r="S566" i="1"/>
  <c r="S568" i="1"/>
  <c r="S570" i="1"/>
  <c r="R578" i="1"/>
  <c r="AW578" i="1" s="1"/>
  <c r="S603" i="1"/>
  <c r="S605" i="1"/>
  <c r="S607" i="1"/>
  <c r="S609" i="1"/>
  <c r="R611" i="1"/>
  <c r="S619" i="1"/>
  <c r="S621" i="1"/>
  <c r="S627" i="1"/>
  <c r="S629" i="1"/>
  <c r="S631" i="1"/>
  <c r="N647" i="1"/>
  <c r="AP647" i="1" s="1"/>
  <c r="S664" i="1"/>
  <c r="R666" i="1"/>
  <c r="S670" i="1"/>
  <c r="S698" i="1"/>
  <c r="S712" i="1"/>
  <c r="S720" i="1"/>
  <c r="S722" i="1"/>
  <c r="T726" i="1"/>
  <c r="T728" i="1"/>
  <c r="T730" i="1"/>
  <c r="S133" i="1"/>
  <c r="T553" i="1"/>
  <c r="S161" i="1"/>
  <c r="S191" i="1"/>
  <c r="AT191" i="1" s="1"/>
  <c r="R137" i="1"/>
  <c r="S153" i="1" s="1"/>
  <c r="AT153" i="1" s="1"/>
  <c r="S99" i="1"/>
  <c r="AT99" i="1" s="1"/>
  <c r="S190" i="1"/>
  <c r="AT190" i="1" s="1"/>
  <c r="S134" i="1"/>
  <c r="AT134" i="1" s="1"/>
  <c r="T22" i="1"/>
  <c r="S44" i="1"/>
  <c r="T36" i="1"/>
  <c r="S83" i="1"/>
  <c r="AT83" i="1" s="1"/>
  <c r="R35" i="1"/>
  <c r="S63" i="1"/>
  <c r="AT50" i="1"/>
  <c r="R235" i="1"/>
  <c r="N70" i="1"/>
  <c r="S61" i="1"/>
  <c r="AT61" i="1" s="1"/>
  <c r="S660" i="1"/>
  <c r="AA645" i="1"/>
  <c r="R610" i="1"/>
  <c r="AW610" i="1" s="1"/>
  <c r="R612" i="1"/>
  <c r="P618" i="1"/>
  <c r="AU618" i="1" s="1"/>
  <c r="S622" i="1"/>
  <c r="S663" i="1"/>
  <c r="S665" i="1"/>
  <c r="S669" i="1"/>
  <c r="S671" i="1"/>
  <c r="S673" i="1"/>
  <c r="N697" i="1"/>
  <c r="AP697" i="1" s="1"/>
  <c r="S703" i="1"/>
  <c r="S733" i="1"/>
  <c r="S740" i="1"/>
  <c r="S742" i="1"/>
  <c r="S744" i="1"/>
  <c r="R746" i="1"/>
  <c r="AW746" i="1" s="1"/>
  <c r="R344" i="1"/>
  <c r="T71" i="1"/>
  <c r="R279" i="1"/>
  <c r="AW279" i="1" s="1"/>
  <c r="S281" i="1"/>
  <c r="R316" i="1"/>
  <c r="R633" i="1"/>
  <c r="AW633" i="1" s="1"/>
  <c r="S658" i="1"/>
  <c r="S662" i="1"/>
  <c r="S668" i="1"/>
  <c r="S674" i="1"/>
  <c r="S704" i="1"/>
  <c r="S718" i="1"/>
  <c r="S732" i="1"/>
  <c r="S741" i="1"/>
  <c r="S743" i="1"/>
  <c r="S745" i="1"/>
  <c r="S747" i="1"/>
  <c r="S749" i="1"/>
  <c r="R91" i="1"/>
  <c r="S196" i="1"/>
  <c r="AT196" i="1" s="1"/>
  <c r="S194" i="1"/>
  <c r="AT194" i="1" s="1"/>
  <c r="R24" i="1"/>
  <c r="N590" i="1" l="1"/>
  <c r="AP590" i="1" s="1"/>
  <c r="N588" i="1"/>
  <c r="AP588" i="1" s="1"/>
  <c r="N455" i="1"/>
  <c r="AP455" i="1" s="1"/>
  <c r="AT427" i="1"/>
  <c r="AY419" i="1"/>
  <c r="AP105" i="1"/>
  <c r="AP29" i="1"/>
  <c r="AP86" i="1"/>
  <c r="AP70" i="1"/>
  <c r="AP96" i="1"/>
  <c r="AP174" i="1"/>
  <c r="AY489" i="1"/>
  <c r="AY573" i="1"/>
  <c r="N544" i="1"/>
  <c r="AP544" i="1" s="1"/>
  <c r="AY519" i="1"/>
  <c r="N540" i="1"/>
  <c r="AP540" i="1" s="1"/>
  <c r="AX540" i="1"/>
  <c r="AU706" i="1"/>
  <c r="N453" i="1"/>
  <c r="AP453" i="1" s="1"/>
  <c r="U470" i="1"/>
  <c r="AY589" i="1"/>
  <c r="T237" i="1"/>
  <c r="N237" i="1" s="1"/>
  <c r="AP237" i="1" s="1"/>
  <c r="T528" i="1"/>
  <c r="AY528" i="1" s="1"/>
  <c r="V389" i="1"/>
  <c r="U389" i="1"/>
  <c r="S582" i="1"/>
  <c r="AX582" i="1" s="1"/>
  <c r="N475" i="1"/>
  <c r="AP475" i="1" s="1"/>
  <c r="N439" i="1"/>
  <c r="V439" i="1" s="1"/>
  <c r="N551" i="1"/>
  <c r="AP551" i="1" s="1"/>
  <c r="T232" i="1"/>
  <c r="N232" i="1" s="1"/>
  <c r="AP232" i="1" s="1"/>
  <c r="AT524" i="1"/>
  <c r="S234" i="1"/>
  <c r="T234" i="1" s="1"/>
  <c r="T473" i="1"/>
  <c r="AY473" i="1" s="1"/>
  <c r="N625" i="1"/>
  <c r="AP625" i="1" s="1"/>
  <c r="AY617" i="1"/>
  <c r="AY476" i="1"/>
  <c r="AY591" i="1"/>
  <c r="S474" i="1"/>
  <c r="AT474" i="1" s="1"/>
  <c r="AX472" i="1"/>
  <c r="AT472" i="1"/>
  <c r="T472" i="1"/>
  <c r="AY472" i="1" s="1"/>
  <c r="P585" i="1"/>
  <c r="T585" i="1" s="1"/>
  <c r="AX524" i="1"/>
  <c r="S471" i="1"/>
  <c r="AP306" i="1"/>
  <c r="U306" i="1"/>
  <c r="V306" i="1"/>
  <c r="AT585" i="1"/>
  <c r="AX613" i="1"/>
  <c r="AT613" i="1"/>
  <c r="X498" i="1"/>
  <c r="AP498" i="1"/>
  <c r="V498" i="1"/>
  <c r="U498" i="1"/>
  <c r="AY311" i="1"/>
  <c r="AP26" i="1"/>
  <c r="U26" i="1"/>
  <c r="V26" i="1"/>
  <c r="AW472" i="1"/>
  <c r="AQ750" i="1"/>
  <c r="R750" i="1" s="1"/>
  <c r="AW750" i="1" s="1"/>
  <c r="AT444" i="1"/>
  <c r="AX444" i="1"/>
  <c r="N444" i="1"/>
  <c r="U273" i="1"/>
  <c r="AP273" i="1"/>
  <c r="V273" i="1"/>
  <c r="AP348" i="1"/>
  <c r="U348" i="1"/>
  <c r="V348" i="1"/>
  <c r="S606" i="1"/>
  <c r="AX606" i="1" s="1"/>
  <c r="U271" i="1"/>
  <c r="AP271" i="1"/>
  <c r="AT473" i="1"/>
  <c r="AX473" i="1"/>
  <c r="S231" i="1"/>
  <c r="AW473" i="1"/>
  <c r="AQ751" i="1"/>
  <c r="R751" i="1" s="1"/>
  <c r="AS322" i="1"/>
  <c r="AT322" i="1" s="1"/>
  <c r="X111" i="1"/>
  <c r="N111" i="1"/>
  <c r="AT111" i="1"/>
  <c r="AX111" i="1"/>
  <c r="U294" i="1"/>
  <c r="V294" i="1"/>
  <c r="S45" i="1"/>
  <c r="AT45" i="1" s="1"/>
  <c r="S52" i="1"/>
  <c r="N52" i="1" s="1"/>
  <c r="AT151" i="1"/>
  <c r="AS391" i="1"/>
  <c r="AT140" i="1"/>
  <c r="AS357" i="1"/>
  <c r="AT357" i="1" s="1"/>
  <c r="AT133" i="1"/>
  <c r="AS348" i="1"/>
  <c r="AT348" i="1" s="1"/>
  <c r="AT128" i="1"/>
  <c r="AS349" i="1"/>
  <c r="AT349" i="1" s="1"/>
  <c r="V480" i="1"/>
  <c r="AT287" i="1"/>
  <c r="P287" i="1"/>
  <c r="T287" i="1" s="1"/>
  <c r="N287" i="1" s="1"/>
  <c r="AT73" i="1"/>
  <c r="AS276" i="1"/>
  <c r="AT276" i="1" s="1"/>
  <c r="U646" i="1"/>
  <c r="U555" i="1"/>
  <c r="V311" i="1"/>
  <c r="U519" i="1"/>
  <c r="V419" i="1"/>
  <c r="U617" i="1"/>
  <c r="U715" i="1"/>
  <c r="U311" i="1"/>
  <c r="U480" i="1"/>
  <c r="U589" i="1"/>
  <c r="U575" i="1"/>
  <c r="U544" i="1"/>
  <c r="U734" i="1"/>
  <c r="U489" i="1"/>
  <c r="V292" i="1"/>
  <c r="U292" i="1"/>
  <c r="V479" i="1"/>
  <c r="U479" i="1"/>
  <c r="U588" i="1"/>
  <c r="U419" i="1"/>
  <c r="U736" i="1"/>
  <c r="AX447" i="1"/>
  <c r="AT447" i="1"/>
  <c r="U573" i="1"/>
  <c r="AX440" i="1"/>
  <c r="AT440" i="1"/>
  <c r="T753" i="1"/>
  <c r="AU753" i="1"/>
  <c r="U591" i="1"/>
  <c r="V286" i="1"/>
  <c r="U655" i="1"/>
  <c r="U286" i="1"/>
  <c r="U478" i="1"/>
  <c r="AX668" i="1"/>
  <c r="AT668" i="1"/>
  <c r="AX603" i="1"/>
  <c r="AT603" i="1"/>
  <c r="N523" i="1"/>
  <c r="AP523" i="1" s="1"/>
  <c r="AY523" i="1"/>
  <c r="N680" i="1"/>
  <c r="AP680" i="1" s="1"/>
  <c r="AY680" i="1"/>
  <c r="N415" i="1"/>
  <c r="AP415" i="1" s="1"/>
  <c r="AY415" i="1"/>
  <c r="AX629" i="1"/>
  <c r="AT629" i="1"/>
  <c r="AX377" i="1"/>
  <c r="AT377" i="1"/>
  <c r="AX559" i="1"/>
  <c r="AT559" i="1"/>
  <c r="T445" i="1"/>
  <c r="AY445" i="1" s="1"/>
  <c r="AX435" i="1"/>
  <c r="AT435" i="1"/>
  <c r="AX227" i="1"/>
  <c r="AT227" i="1"/>
  <c r="N586" i="1"/>
  <c r="AP586" i="1" s="1"/>
  <c r="AY586" i="1"/>
  <c r="N716" i="1"/>
  <c r="AP716" i="1" s="1"/>
  <c r="AY716" i="1"/>
  <c r="N689" i="1"/>
  <c r="AP689" i="1" s="1"/>
  <c r="AY689" i="1"/>
  <c r="N644" i="1"/>
  <c r="AP644" i="1" s="1"/>
  <c r="AY644" i="1"/>
  <c r="T667" i="1"/>
  <c r="AU667" i="1"/>
  <c r="N255" i="1"/>
  <c r="AP255" i="1" s="1"/>
  <c r="AY255" i="1"/>
  <c r="N334" i="1"/>
  <c r="AP334" i="1" s="1"/>
  <c r="AU334" i="1"/>
  <c r="S329" i="1"/>
  <c r="T329" i="1" s="1"/>
  <c r="AU329" i="1"/>
  <c r="AX745" i="1"/>
  <c r="AT745" i="1"/>
  <c r="AX662" i="1"/>
  <c r="AT662" i="1"/>
  <c r="S362" i="1"/>
  <c r="N362" i="1" s="1"/>
  <c r="AP362" i="1" s="1"/>
  <c r="AW344" i="1"/>
  <c r="AX673" i="1"/>
  <c r="AT673" i="1"/>
  <c r="T290" i="1"/>
  <c r="N290" i="1" s="1"/>
  <c r="AP290" i="1" s="1"/>
  <c r="AT63" i="1"/>
  <c r="T181" i="1"/>
  <c r="N181" i="1" s="1"/>
  <c r="AT161" i="1"/>
  <c r="AX712" i="1"/>
  <c r="AX627" i="1"/>
  <c r="AT627" i="1"/>
  <c r="N560" i="1"/>
  <c r="AP560" i="1" s="1"/>
  <c r="AU560" i="1"/>
  <c r="AX512" i="1"/>
  <c r="AT512" i="1"/>
  <c r="AX482" i="1"/>
  <c r="AT482" i="1"/>
  <c r="AX410" i="1"/>
  <c r="AT410" i="1"/>
  <c r="AX370" i="1"/>
  <c r="AT370" i="1"/>
  <c r="AX257" i="1"/>
  <c r="AX228" i="1"/>
  <c r="AT228" i="1"/>
  <c r="AS596" i="1"/>
  <c r="S596" i="1" s="1"/>
  <c r="T143" i="1"/>
  <c r="N143" i="1" s="1"/>
  <c r="AT123" i="1"/>
  <c r="AX600" i="1"/>
  <c r="AT600" i="1"/>
  <c r="AX554" i="1"/>
  <c r="AT554" i="1"/>
  <c r="AX432" i="1"/>
  <c r="AT432" i="1"/>
  <c r="T414" i="1"/>
  <c r="AX367" i="1"/>
  <c r="AT367" i="1"/>
  <c r="AX322" i="1"/>
  <c r="AX264" i="1"/>
  <c r="AT264" i="1"/>
  <c r="T126" i="1"/>
  <c r="N126" i="1" s="1"/>
  <c r="AT102" i="1"/>
  <c r="AS422" i="1"/>
  <c r="AT422" i="1" s="1"/>
  <c r="AT152" i="1"/>
  <c r="AX413" i="1"/>
  <c r="AT413" i="1"/>
  <c r="N686" i="1"/>
  <c r="AP686" i="1" s="1"/>
  <c r="AY686" i="1"/>
  <c r="N691" i="1"/>
  <c r="AP691" i="1" s="1"/>
  <c r="AY691" i="1"/>
  <c r="N681" i="1"/>
  <c r="AP681" i="1" s="1"/>
  <c r="AY681" i="1"/>
  <c r="N650" i="1"/>
  <c r="AP650" i="1" s="1"/>
  <c r="AY650" i="1"/>
  <c r="AX210" i="1"/>
  <c r="AT210" i="1"/>
  <c r="N659" i="1"/>
  <c r="AP659" i="1" s="1"/>
  <c r="AU659" i="1"/>
  <c r="AX437" i="1"/>
  <c r="AT437" i="1"/>
  <c r="AX358" i="1"/>
  <c r="AT358" i="1"/>
  <c r="N318" i="1"/>
  <c r="AP318" i="1" s="1"/>
  <c r="AY318" i="1"/>
  <c r="U524" i="1"/>
  <c r="AX720" i="1"/>
  <c r="AT720" i="1"/>
  <c r="AX417" i="1"/>
  <c r="AT417" i="1"/>
  <c r="AX652" i="1"/>
  <c r="AT652" i="1"/>
  <c r="AX327" i="1"/>
  <c r="AT327" i="1"/>
  <c r="AX658" i="1"/>
  <c r="AT658" i="1"/>
  <c r="AX406" i="1"/>
  <c r="AT406" i="1"/>
  <c r="AX513" i="1"/>
  <c r="AT513" i="1"/>
  <c r="AX363" i="1"/>
  <c r="AT363" i="1"/>
  <c r="AX220" i="1"/>
  <c r="AT220" i="1"/>
  <c r="N683" i="1"/>
  <c r="AP683" i="1" s="1"/>
  <c r="AY683" i="1"/>
  <c r="AX514" i="1"/>
  <c r="AT514" i="1"/>
  <c r="AX272" i="1"/>
  <c r="AX744" i="1"/>
  <c r="AT744" i="1"/>
  <c r="AX670" i="1"/>
  <c r="AT670" i="1"/>
  <c r="AX619" i="1"/>
  <c r="AT619" i="1"/>
  <c r="AX545" i="1"/>
  <c r="AT545" i="1"/>
  <c r="AX505" i="1"/>
  <c r="AT505" i="1"/>
  <c r="AX457" i="1"/>
  <c r="AT457" i="1"/>
  <c r="AX404" i="1"/>
  <c r="AT404" i="1"/>
  <c r="AX366" i="1"/>
  <c r="AT366" i="1"/>
  <c r="AX299" i="1"/>
  <c r="AT299" i="1"/>
  <c r="AX248" i="1"/>
  <c r="AT248" i="1"/>
  <c r="AX221" i="1"/>
  <c r="AT221" i="1"/>
  <c r="N729" i="1"/>
  <c r="AP729" i="1" s="1"/>
  <c r="AY729" i="1"/>
  <c r="AX632" i="1"/>
  <c r="AX577" i="1"/>
  <c r="AT577" i="1"/>
  <c r="AX548" i="1"/>
  <c r="AT548" i="1"/>
  <c r="N500" i="1"/>
  <c r="AP500" i="1" s="1"/>
  <c r="AX500" i="1"/>
  <c r="AT500" i="1"/>
  <c r="AX426" i="1"/>
  <c r="AT426" i="1"/>
  <c r="AX398" i="1"/>
  <c r="AT398" i="1"/>
  <c r="AX359" i="1"/>
  <c r="AT359" i="1"/>
  <c r="AX315" i="1"/>
  <c r="AT315" i="1"/>
  <c r="AX696" i="1"/>
  <c r="N725" i="1"/>
  <c r="AP725" i="1" s="1"/>
  <c r="AY725" i="1"/>
  <c r="AX436" i="1"/>
  <c r="AT436" i="1"/>
  <c r="T179" i="1"/>
  <c r="N179" i="1" s="1"/>
  <c r="AT179" i="1"/>
  <c r="AX657" i="1"/>
  <c r="N429" i="1"/>
  <c r="AP429" i="1" s="1"/>
  <c r="AY429" i="1"/>
  <c r="AX212" i="1"/>
  <c r="AT212" i="1"/>
  <c r="N326" i="1"/>
  <c r="AP326" i="1" s="1"/>
  <c r="AY326" i="1"/>
  <c r="N217" i="1"/>
  <c r="AP217" i="1" s="1"/>
  <c r="AY217" i="1"/>
  <c r="N532" i="1"/>
  <c r="U532" i="1" s="1"/>
  <c r="AY532" i="1"/>
  <c r="AX747" i="1"/>
  <c r="AT747" i="1"/>
  <c r="T145" i="1"/>
  <c r="N145" i="1" s="1"/>
  <c r="S602" i="1"/>
  <c r="N602" i="1" s="1"/>
  <c r="AP602" i="1" s="1"/>
  <c r="AW602" i="1"/>
  <c r="AX671" i="1"/>
  <c r="AT671" i="1"/>
  <c r="AX698" i="1"/>
  <c r="AT698" i="1"/>
  <c r="AX459" i="1"/>
  <c r="AT459" i="1"/>
  <c r="AX252" i="1"/>
  <c r="AT252" i="1"/>
  <c r="N634" i="1"/>
  <c r="AP634" i="1" s="1"/>
  <c r="AU634" i="1"/>
  <c r="N687" i="1"/>
  <c r="AP687" i="1" s="1"/>
  <c r="AY687" i="1"/>
  <c r="AX741" i="1"/>
  <c r="AT741" i="1"/>
  <c r="AX669" i="1"/>
  <c r="AT669" i="1"/>
  <c r="AX732" i="1"/>
  <c r="AT732" i="1"/>
  <c r="S330" i="1"/>
  <c r="N330" i="1" s="1"/>
  <c r="AP330" i="1" s="1"/>
  <c r="AW316" i="1"/>
  <c r="AX742" i="1"/>
  <c r="AT742" i="1"/>
  <c r="AX665" i="1"/>
  <c r="AT665" i="1"/>
  <c r="AX660" i="1"/>
  <c r="N730" i="1"/>
  <c r="AP730" i="1" s="1"/>
  <c r="AY730" i="1"/>
  <c r="S666" i="1"/>
  <c r="N666" i="1" s="1"/>
  <c r="AP666" i="1" s="1"/>
  <c r="AW666" i="1"/>
  <c r="S611" i="1"/>
  <c r="N611" i="1" s="1"/>
  <c r="AP611" i="1" s="1"/>
  <c r="AW611" i="1"/>
  <c r="AX570" i="1"/>
  <c r="AT570" i="1"/>
  <c r="AX543" i="1"/>
  <c r="AT543" i="1"/>
  <c r="AX497" i="1"/>
  <c r="AT497" i="1"/>
  <c r="AX433" i="1"/>
  <c r="AT433" i="1"/>
  <c r="AX402" i="1"/>
  <c r="AT402" i="1"/>
  <c r="AX360" i="1"/>
  <c r="AT360" i="1"/>
  <c r="AX283" i="1"/>
  <c r="AT283" i="1"/>
  <c r="AX246" i="1"/>
  <c r="AT246" i="1"/>
  <c r="AX208" i="1"/>
  <c r="AT208" i="1"/>
  <c r="N727" i="1"/>
  <c r="AP727" i="1" s="1"/>
  <c r="AY727" i="1"/>
  <c r="S630" i="1"/>
  <c r="N630" i="1" s="1"/>
  <c r="AP630" i="1" s="1"/>
  <c r="AW630" i="1"/>
  <c r="AX569" i="1"/>
  <c r="AT569" i="1"/>
  <c r="AX533" i="1"/>
  <c r="AT533" i="1"/>
  <c r="AX486" i="1"/>
  <c r="AT486" i="1"/>
  <c r="AX424" i="1"/>
  <c r="AX396" i="1"/>
  <c r="AT396" i="1"/>
  <c r="AX357" i="1"/>
  <c r="AX308" i="1"/>
  <c r="AX247" i="1"/>
  <c r="AT247" i="1"/>
  <c r="AX695" i="1"/>
  <c r="AT695" i="1"/>
  <c r="N717" i="1"/>
  <c r="AP717" i="1" s="1"/>
  <c r="AY717" i="1"/>
  <c r="N738" i="1"/>
  <c r="AP738" i="1" s="1"/>
  <c r="AY738" i="1"/>
  <c r="AX461" i="1"/>
  <c r="AT461" i="1"/>
  <c r="AX552" i="1"/>
  <c r="AT552" i="1"/>
  <c r="T599" i="1"/>
  <c r="AX597" i="1"/>
  <c r="AT597" i="1"/>
  <c r="N412" i="1"/>
  <c r="AP412" i="1" s="1"/>
  <c r="AY412" i="1"/>
  <c r="N463" i="1"/>
  <c r="AP463" i="1" s="1"/>
  <c r="AY463" i="1"/>
  <c r="N320" i="1"/>
  <c r="AP320" i="1" s="1"/>
  <c r="AY320" i="1"/>
  <c r="N491" i="1"/>
  <c r="U491" i="1" s="1"/>
  <c r="AY491" i="1"/>
  <c r="V478" i="1"/>
  <c r="AX526" i="1"/>
  <c r="AT526" i="1"/>
  <c r="AX369" i="1"/>
  <c r="AT369" i="1"/>
  <c r="AX743" i="1"/>
  <c r="AT743" i="1"/>
  <c r="AX509" i="1"/>
  <c r="AT509" i="1"/>
  <c r="AX550" i="1"/>
  <c r="AT550" i="1"/>
  <c r="AX401" i="1"/>
  <c r="AT401" i="1"/>
  <c r="AX262" i="1"/>
  <c r="AT262" i="1"/>
  <c r="T176" i="1"/>
  <c r="N176" i="1" s="1"/>
  <c r="AT156" i="1"/>
  <c r="N640" i="1"/>
  <c r="AP640" i="1" s="1"/>
  <c r="AY640" i="1"/>
  <c r="N465" i="1"/>
  <c r="AP465" i="1" s="1"/>
  <c r="AY465" i="1"/>
  <c r="S355" i="1"/>
  <c r="AW337" i="1"/>
  <c r="AX718" i="1"/>
  <c r="AT718" i="1"/>
  <c r="AX281" i="1"/>
  <c r="AT281" i="1"/>
  <c r="AX740" i="1"/>
  <c r="AT740" i="1"/>
  <c r="AX663" i="1"/>
  <c r="AT663" i="1"/>
  <c r="T64" i="1"/>
  <c r="N64" i="1" s="1"/>
  <c r="AT44" i="1"/>
  <c r="AS313" i="1"/>
  <c r="N728" i="1"/>
  <c r="AP728" i="1" s="1"/>
  <c r="AY728" i="1"/>
  <c r="AX664" i="1"/>
  <c r="AT664" i="1"/>
  <c r="AX609" i="1"/>
  <c r="AT609" i="1"/>
  <c r="AX568" i="1"/>
  <c r="AT568" i="1"/>
  <c r="AX539" i="1"/>
  <c r="AT539" i="1"/>
  <c r="AX493" i="1"/>
  <c r="AX431" i="1"/>
  <c r="AT431" i="1"/>
  <c r="T411" i="1"/>
  <c r="AX400" i="1"/>
  <c r="AT400" i="1"/>
  <c r="AX343" i="1"/>
  <c r="AT343" i="1"/>
  <c r="AQ594" i="1"/>
  <c r="AW69" i="1"/>
  <c r="AX243" i="1"/>
  <c r="AT243" i="1"/>
  <c r="N94" i="1"/>
  <c r="AT94" i="1"/>
  <c r="T184" i="1"/>
  <c r="N184" i="1" s="1"/>
  <c r="AX723" i="1"/>
  <c r="AT723" i="1"/>
  <c r="AX624" i="1"/>
  <c r="AT624" i="1"/>
  <c r="AX565" i="1"/>
  <c r="AT565" i="1"/>
  <c r="AX531" i="1"/>
  <c r="AT531" i="1"/>
  <c r="AX484" i="1"/>
  <c r="AT484" i="1"/>
  <c r="AX422" i="1"/>
  <c r="AX381" i="1"/>
  <c r="AT381" i="1"/>
  <c r="AX241" i="1"/>
  <c r="AT241" i="1"/>
  <c r="N692" i="1"/>
  <c r="AP692" i="1" s="1"/>
  <c r="AY692" i="1"/>
  <c r="N707" i="1"/>
  <c r="AP707" i="1" s="1"/>
  <c r="AY707" i="1"/>
  <c r="N679" i="1"/>
  <c r="AP679" i="1" s="1"/>
  <c r="AY679" i="1"/>
  <c r="AX351" i="1"/>
  <c r="AT351" i="1"/>
  <c r="N672" i="1"/>
  <c r="AP672" i="1" s="1"/>
  <c r="AY672" i="1"/>
  <c r="N373" i="1"/>
  <c r="AP373" i="1" s="1"/>
  <c r="AY373" i="1"/>
  <c r="S314" i="1"/>
  <c r="N314" i="1" s="1"/>
  <c r="AP314" i="1" s="1"/>
  <c r="AW314" i="1"/>
  <c r="N312" i="1"/>
  <c r="AP312" i="1" s="1"/>
  <c r="AY312" i="1"/>
  <c r="N449" i="1"/>
  <c r="AP449" i="1" s="1"/>
  <c r="AY449" i="1"/>
  <c r="AP476" i="1"/>
  <c r="U476" i="1"/>
  <c r="V476" i="1"/>
  <c r="S614" i="1"/>
  <c r="N614" i="1" s="1"/>
  <c r="AP614" i="1" s="1"/>
  <c r="AW612" i="1"/>
  <c r="AX261" i="1"/>
  <c r="AT261" i="1"/>
  <c r="AX405" i="1"/>
  <c r="AT405" i="1"/>
  <c r="AX621" i="1"/>
  <c r="AT621" i="1"/>
  <c r="AX302" i="1"/>
  <c r="AT302" i="1"/>
  <c r="AX579" i="1"/>
  <c r="AT579" i="1"/>
  <c r="AX704" i="1"/>
  <c r="AX733" i="1"/>
  <c r="AT733" i="1"/>
  <c r="AX622" i="1"/>
  <c r="AT622" i="1"/>
  <c r="N78" i="1"/>
  <c r="AT56" i="1"/>
  <c r="N726" i="1"/>
  <c r="AP726" i="1" s="1"/>
  <c r="AY726" i="1"/>
  <c r="AX607" i="1"/>
  <c r="AT607" i="1"/>
  <c r="AX566" i="1"/>
  <c r="AT566" i="1"/>
  <c r="AX535" i="1"/>
  <c r="AT535" i="1"/>
  <c r="AX425" i="1"/>
  <c r="AT425" i="1"/>
  <c r="AX394" i="1"/>
  <c r="AT394" i="1"/>
  <c r="AX265" i="1"/>
  <c r="AT265" i="1"/>
  <c r="AX240" i="1"/>
  <c r="AT240" i="1"/>
  <c r="AS323" i="1"/>
  <c r="S323" i="1" s="1"/>
  <c r="AT101" i="1"/>
  <c r="AX721" i="1"/>
  <c r="AX608" i="1"/>
  <c r="AT608" i="1"/>
  <c r="AX563" i="1"/>
  <c r="AT563" i="1"/>
  <c r="AX529" i="1"/>
  <c r="AT529" i="1"/>
  <c r="AX416" i="1"/>
  <c r="AT416" i="1"/>
  <c r="AX374" i="1"/>
  <c r="AT374" i="1"/>
  <c r="AX239" i="1"/>
  <c r="N661" i="1"/>
  <c r="AP661" i="1" s="1"/>
  <c r="AY661" i="1"/>
  <c r="N690" i="1"/>
  <c r="AP690" i="1" s="1"/>
  <c r="AY690" i="1"/>
  <c r="N571" i="1"/>
  <c r="AP571" i="1" s="1"/>
  <c r="AY571" i="1"/>
  <c r="AX375" i="1"/>
  <c r="AT375" i="1"/>
  <c r="N752" i="1"/>
  <c r="AP752" i="1" s="1"/>
  <c r="AY752" i="1"/>
  <c r="AX332" i="1"/>
  <c r="N462" i="1"/>
  <c r="AP462" i="1" s="1"/>
  <c r="AY462" i="1"/>
  <c r="AX253" i="1"/>
  <c r="AT253" i="1"/>
  <c r="N452" i="1"/>
  <c r="AP452" i="1" s="1"/>
  <c r="AY452" i="1"/>
  <c r="AX483" i="1"/>
  <c r="AT483" i="1"/>
  <c r="AX233" i="1"/>
  <c r="N553" i="1"/>
  <c r="AP553" i="1" s="1"/>
  <c r="AY553" i="1"/>
  <c r="N558" i="1"/>
  <c r="AP558" i="1" s="1"/>
  <c r="AU558" i="1"/>
  <c r="AX368" i="1"/>
  <c r="AT368" i="1"/>
  <c r="AX223" i="1"/>
  <c r="AT223" i="1"/>
  <c r="N731" i="1"/>
  <c r="AP731" i="1" s="1"/>
  <c r="AY731" i="1"/>
  <c r="AX430" i="1"/>
  <c r="AT430" i="1"/>
  <c r="N693" i="1"/>
  <c r="AP693" i="1" s="1"/>
  <c r="AY693" i="1"/>
  <c r="N641" i="1"/>
  <c r="AP641" i="1" s="1"/>
  <c r="AY641" i="1"/>
  <c r="AX361" i="1"/>
  <c r="AT361" i="1"/>
  <c r="AX749" i="1"/>
  <c r="AT749" i="1"/>
  <c r="AX674" i="1"/>
  <c r="AT674" i="1"/>
  <c r="AX703" i="1"/>
  <c r="AT703" i="1"/>
  <c r="AX722" i="1"/>
  <c r="AT722" i="1"/>
  <c r="AX631" i="1"/>
  <c r="AT631" i="1"/>
  <c r="AX605" i="1"/>
  <c r="AT605" i="1"/>
  <c r="AX564" i="1"/>
  <c r="AT564" i="1"/>
  <c r="AX530" i="1"/>
  <c r="AT530" i="1"/>
  <c r="T495" i="1"/>
  <c r="N495" i="1" s="1"/>
  <c r="AP495" i="1" s="1"/>
  <c r="AX485" i="1"/>
  <c r="AT485" i="1"/>
  <c r="AX421" i="1"/>
  <c r="AT421" i="1"/>
  <c r="AX379" i="1"/>
  <c r="AT379" i="1"/>
  <c r="AX112" i="1"/>
  <c r="AT112" i="1"/>
  <c r="AX263" i="1"/>
  <c r="AT263" i="1"/>
  <c r="AX238" i="1"/>
  <c r="AT238" i="1"/>
  <c r="AX719" i="1"/>
  <c r="AT719" i="1"/>
  <c r="AX527" i="1"/>
  <c r="AX454" i="1"/>
  <c r="AT454" i="1"/>
  <c r="AX409" i="1"/>
  <c r="AT409" i="1"/>
  <c r="AX372" i="1"/>
  <c r="AT372" i="1"/>
  <c r="AX282" i="1"/>
  <c r="AT282" i="1"/>
  <c r="AX236" i="1"/>
  <c r="AT236" i="1"/>
  <c r="N656" i="1"/>
  <c r="AP656" i="1" s="1"/>
  <c r="AY656" i="1"/>
  <c r="N653" i="1"/>
  <c r="AP653" i="1" s="1"/>
  <c r="AY653" i="1"/>
  <c r="N688" i="1"/>
  <c r="AP688" i="1" s="1"/>
  <c r="AY688" i="1"/>
  <c r="AX675" i="1"/>
  <c r="AT675" i="1"/>
  <c r="N676" i="1"/>
  <c r="AP676" i="1" s="1"/>
  <c r="AU676" i="1"/>
  <c r="N259" i="1"/>
  <c r="AP259" i="1" s="1"/>
  <c r="AY259" i="1"/>
  <c r="N468" i="1"/>
  <c r="AP468" i="1" s="1"/>
  <c r="AY468" i="1"/>
  <c r="N423" i="1"/>
  <c r="AP423" i="1" s="1"/>
  <c r="AY423" i="1"/>
  <c r="T592" i="1"/>
  <c r="AU590" i="1"/>
  <c r="AX639" i="1"/>
  <c r="AT639" i="1"/>
  <c r="N339" i="1"/>
  <c r="AP339" i="1" s="1"/>
  <c r="AY339" i="1"/>
  <c r="AX620" i="1"/>
  <c r="AT620" i="1"/>
  <c r="N297" i="1"/>
  <c r="AP297" i="1" s="1"/>
  <c r="AY297" i="1"/>
  <c r="N296" i="1"/>
  <c r="AP296" i="1" s="1"/>
  <c r="AY296" i="1"/>
  <c r="S98" i="1"/>
  <c r="T173" i="1"/>
  <c r="N173" i="1" s="1"/>
  <c r="T345" i="1"/>
  <c r="T616" i="1"/>
  <c r="AS341" i="1"/>
  <c r="T136" i="1"/>
  <c r="N136" i="1" s="1"/>
  <c r="AS495" i="1"/>
  <c r="AT495" i="1" s="1"/>
  <c r="T277" i="1"/>
  <c r="AS694" i="1"/>
  <c r="S694" i="1" s="1"/>
  <c r="T393" i="1"/>
  <c r="T169" i="1"/>
  <c r="N169" i="1" s="1"/>
  <c r="T428" i="1"/>
  <c r="T584" i="1"/>
  <c r="T385" i="1"/>
  <c r="AS737" i="1"/>
  <c r="S737" i="1" s="1"/>
  <c r="AS714" i="1"/>
  <c r="S714" i="1" s="1"/>
  <c r="S604" i="1"/>
  <c r="N604" i="1" s="1"/>
  <c r="AP604" i="1" s="1"/>
  <c r="S293" i="1"/>
  <c r="N75" i="1"/>
  <c r="T420" i="1"/>
  <c r="T376" i="1"/>
  <c r="P441" i="1"/>
  <c r="AU441" i="1" s="1"/>
  <c r="T467" i="1"/>
  <c r="T434" i="1"/>
  <c r="T300" i="1"/>
  <c r="T270" i="1"/>
  <c r="AS735" i="1"/>
  <c r="S735" i="1" s="1"/>
  <c r="S138" i="1"/>
  <c r="AS657" i="1"/>
  <c r="AT657" i="1" s="1"/>
  <c r="AQ657" i="1"/>
  <c r="S213" i="1"/>
  <c r="T427" i="1"/>
  <c r="T219" i="1"/>
  <c r="T285" i="1"/>
  <c r="T216" i="1"/>
  <c r="S115" i="1"/>
  <c r="AS710" i="1"/>
  <c r="S710" i="1" s="1"/>
  <c r="S74" i="1"/>
  <c r="AQ269" i="1"/>
  <c r="R269" i="1" s="1"/>
  <c r="AS479" i="1"/>
  <c r="AT479" i="1" s="1"/>
  <c r="T636" i="1"/>
  <c r="AY636" i="1" s="1"/>
  <c r="S307" i="1"/>
  <c r="T469" i="1"/>
  <c r="U174" i="1"/>
  <c r="V174" i="1"/>
  <c r="T443" i="1"/>
  <c r="P567" i="1"/>
  <c r="T266" i="1"/>
  <c r="AS713" i="1"/>
  <c r="S713" i="1" s="1"/>
  <c r="T342" i="1"/>
  <c r="T214" i="1"/>
  <c r="N244" i="1"/>
  <c r="AP244" i="1" s="1"/>
  <c r="T408" i="1"/>
  <c r="T218" i="1"/>
  <c r="T442" i="1"/>
  <c r="T392" i="1"/>
  <c r="AS711" i="1"/>
  <c r="S711" i="1" s="1"/>
  <c r="T154" i="1"/>
  <c r="T301" i="1"/>
  <c r="S335" i="1"/>
  <c r="T390" i="1"/>
  <c r="AU450" i="1"/>
  <c r="S331" i="1"/>
  <c r="T162" i="1"/>
  <c r="T587" i="1"/>
  <c r="P506" i="1"/>
  <c r="T464" i="1"/>
  <c r="T215" i="1"/>
  <c r="N663" i="1"/>
  <c r="AP663" i="1" s="1"/>
  <c r="N570" i="1"/>
  <c r="AP570" i="1" s="1"/>
  <c r="N484" i="1"/>
  <c r="AP484" i="1" s="1"/>
  <c r="N262" i="1"/>
  <c r="AP262" i="1" s="1"/>
  <c r="N704" i="1"/>
  <c r="AP704" i="1" s="1"/>
  <c r="N733" i="1"/>
  <c r="AP733" i="1" s="1"/>
  <c r="N622" i="1"/>
  <c r="AP622" i="1" s="1"/>
  <c r="T660" i="1"/>
  <c r="N722" i="1"/>
  <c r="AP722" i="1" s="1"/>
  <c r="N607" i="1"/>
  <c r="AP607" i="1" s="1"/>
  <c r="N568" i="1"/>
  <c r="AP568" i="1" s="1"/>
  <c r="N539" i="1"/>
  <c r="AP539" i="1" s="1"/>
  <c r="N493" i="1"/>
  <c r="AP493" i="1" s="1"/>
  <c r="N433" i="1"/>
  <c r="AP433" i="1" s="1"/>
  <c r="N402" i="1"/>
  <c r="AP402" i="1" s="1"/>
  <c r="N299" i="1"/>
  <c r="AP299" i="1" s="1"/>
  <c r="N248" i="1"/>
  <c r="AP248" i="1" s="1"/>
  <c r="N221" i="1"/>
  <c r="AP221" i="1" s="1"/>
  <c r="T527" i="1"/>
  <c r="AY527" i="1" s="1"/>
  <c r="N416" i="1"/>
  <c r="AP416" i="1" s="1"/>
  <c r="N374" i="1"/>
  <c r="AP374" i="1" s="1"/>
  <c r="N675" i="1"/>
  <c r="N253" i="1"/>
  <c r="AP253" i="1" s="1"/>
  <c r="N609" i="1"/>
  <c r="AP609" i="1" s="1"/>
  <c r="N302" i="1"/>
  <c r="AP302" i="1" s="1"/>
  <c r="N749" i="1"/>
  <c r="AP749" i="1" s="1"/>
  <c r="N703" i="1"/>
  <c r="AP703" i="1" s="1"/>
  <c r="N720" i="1"/>
  <c r="AP720" i="1" s="1"/>
  <c r="N631" i="1"/>
  <c r="AP631" i="1" s="1"/>
  <c r="N605" i="1"/>
  <c r="AP605" i="1" s="1"/>
  <c r="N566" i="1"/>
  <c r="AP566" i="1" s="1"/>
  <c r="N535" i="1"/>
  <c r="AP535" i="1" s="1"/>
  <c r="N431" i="1"/>
  <c r="AP431" i="1" s="1"/>
  <c r="N400" i="1"/>
  <c r="AP400" i="1" s="1"/>
  <c r="N360" i="1"/>
  <c r="AP360" i="1" s="1"/>
  <c r="N283" i="1"/>
  <c r="AP283" i="1" s="1"/>
  <c r="N246" i="1"/>
  <c r="AP246" i="1" s="1"/>
  <c r="N559" i="1"/>
  <c r="AP559" i="1" s="1"/>
  <c r="N454" i="1"/>
  <c r="AP454" i="1" s="1"/>
  <c r="N409" i="1"/>
  <c r="AP409" i="1" s="1"/>
  <c r="N372" i="1"/>
  <c r="AP372" i="1" s="1"/>
  <c r="N247" i="1"/>
  <c r="AP247" i="1" s="1"/>
  <c r="P436" i="1"/>
  <c r="N358" i="1"/>
  <c r="AP358" i="1" s="1"/>
  <c r="N272" i="1"/>
  <c r="AP272" i="1" s="1"/>
  <c r="N281" i="1"/>
  <c r="AP281" i="1" s="1"/>
  <c r="N497" i="1"/>
  <c r="AP497" i="1" s="1"/>
  <c r="N252" i="1"/>
  <c r="AP252" i="1" s="1"/>
  <c r="N529" i="1"/>
  <c r="AP529" i="1" s="1"/>
  <c r="N220" i="1"/>
  <c r="AP220" i="1" s="1"/>
  <c r="N712" i="1"/>
  <c r="AP712" i="1" s="1"/>
  <c r="N629" i="1"/>
  <c r="AP629" i="1" s="1"/>
  <c r="N603" i="1"/>
  <c r="AP603" i="1" s="1"/>
  <c r="N564" i="1"/>
  <c r="AP564" i="1" s="1"/>
  <c r="N530" i="1"/>
  <c r="AP530" i="1" s="1"/>
  <c r="N485" i="1"/>
  <c r="AP485" i="1" s="1"/>
  <c r="N425" i="1"/>
  <c r="AP425" i="1" s="1"/>
  <c r="N394" i="1"/>
  <c r="AP394" i="1" s="1"/>
  <c r="N343" i="1"/>
  <c r="AP343" i="1" s="1"/>
  <c r="N243" i="1"/>
  <c r="AP243" i="1" s="1"/>
  <c r="T632" i="1"/>
  <c r="N600" i="1"/>
  <c r="AP600" i="1" s="1"/>
  <c r="N554" i="1"/>
  <c r="AP554" i="1" s="1"/>
  <c r="N435" i="1"/>
  <c r="AP435" i="1" s="1"/>
  <c r="N405" i="1"/>
  <c r="AP405" i="1" s="1"/>
  <c r="N369" i="1"/>
  <c r="AP369" i="1" s="1"/>
  <c r="N241" i="1"/>
  <c r="AP241" i="1" s="1"/>
  <c r="P437" i="1"/>
  <c r="N212" i="1"/>
  <c r="AP212" i="1" s="1"/>
  <c r="N366" i="1"/>
  <c r="AP366" i="1" s="1"/>
  <c r="N652" i="1"/>
  <c r="AP652" i="1" s="1"/>
  <c r="N308" i="1"/>
  <c r="AP308" i="1" s="1"/>
  <c r="N747" i="1"/>
  <c r="AP747" i="1" s="1"/>
  <c r="N745" i="1"/>
  <c r="AP745" i="1" s="1"/>
  <c r="N698" i="1"/>
  <c r="AP698" i="1" s="1"/>
  <c r="N627" i="1"/>
  <c r="AP627" i="1" s="1"/>
  <c r="N526" i="1"/>
  <c r="AP526" i="1" s="1"/>
  <c r="N483" i="1"/>
  <c r="AP483" i="1" s="1"/>
  <c r="N421" i="1"/>
  <c r="AP421" i="1" s="1"/>
  <c r="N379" i="1"/>
  <c r="AP379" i="1" s="1"/>
  <c r="N265" i="1"/>
  <c r="AP265" i="1" s="1"/>
  <c r="N240" i="1"/>
  <c r="AP240" i="1" s="1"/>
  <c r="N579" i="1"/>
  <c r="AP579" i="1" s="1"/>
  <c r="N550" i="1"/>
  <c r="AP550" i="1" s="1"/>
  <c r="N513" i="1"/>
  <c r="AP513" i="1" s="1"/>
  <c r="N432" i="1"/>
  <c r="AP432" i="1" s="1"/>
  <c r="N367" i="1"/>
  <c r="AP367" i="1" s="1"/>
  <c r="N327" i="1"/>
  <c r="AP327" i="1" s="1"/>
  <c r="N239" i="1"/>
  <c r="AP239" i="1" s="1"/>
  <c r="N457" i="1"/>
  <c r="AP457" i="1" s="1"/>
  <c r="N422" i="1"/>
  <c r="AP422" i="1" s="1"/>
  <c r="N743" i="1"/>
  <c r="AP743" i="1" s="1"/>
  <c r="N658" i="1"/>
  <c r="AP658" i="1" s="1"/>
  <c r="N671" i="1"/>
  <c r="AP671" i="1" s="1"/>
  <c r="N670" i="1"/>
  <c r="AP670" i="1" s="1"/>
  <c r="N621" i="1"/>
  <c r="AP621" i="1" s="1"/>
  <c r="N512" i="1"/>
  <c r="AP512" i="1" s="1"/>
  <c r="N482" i="1"/>
  <c r="AP482" i="1" s="1"/>
  <c r="N417" i="1"/>
  <c r="AP417" i="1" s="1"/>
  <c r="N377" i="1"/>
  <c r="AP377" i="1" s="1"/>
  <c r="N112" i="1"/>
  <c r="N263" i="1"/>
  <c r="AP263" i="1" s="1"/>
  <c r="N238" i="1"/>
  <c r="AP238" i="1" s="1"/>
  <c r="N723" i="1"/>
  <c r="AP723" i="1" s="1"/>
  <c r="N624" i="1"/>
  <c r="AP624" i="1" s="1"/>
  <c r="N577" i="1"/>
  <c r="AP577" i="1" s="1"/>
  <c r="N548" i="1"/>
  <c r="AP548" i="1" s="1"/>
  <c r="N430" i="1"/>
  <c r="AP430" i="1" s="1"/>
  <c r="N401" i="1"/>
  <c r="AP401" i="1" s="1"/>
  <c r="N363" i="1"/>
  <c r="AP363" i="1" s="1"/>
  <c r="N322" i="1"/>
  <c r="AP322" i="1" s="1"/>
  <c r="N282" i="1"/>
  <c r="AP282" i="1" s="1"/>
  <c r="N236" i="1"/>
  <c r="AP236" i="1" s="1"/>
  <c r="N413" i="1"/>
  <c r="AP413" i="1" s="1"/>
  <c r="T552" i="1"/>
  <c r="P657" i="1"/>
  <c r="N332" i="1"/>
  <c r="AP332" i="1" s="1"/>
  <c r="N740" i="1"/>
  <c r="AP740" i="1" s="1"/>
  <c r="N404" i="1"/>
  <c r="AP404" i="1" s="1"/>
  <c r="N381" i="1"/>
  <c r="AP381" i="1" s="1"/>
  <c r="N695" i="1"/>
  <c r="AP695" i="1" s="1"/>
  <c r="N674" i="1"/>
  <c r="AP674" i="1" s="1"/>
  <c r="N741" i="1"/>
  <c r="AP741" i="1" s="1"/>
  <c r="N744" i="1"/>
  <c r="AP744" i="1" s="1"/>
  <c r="N619" i="1"/>
  <c r="AP619" i="1" s="1"/>
  <c r="N509" i="1"/>
  <c r="AP509" i="1" s="1"/>
  <c r="N410" i="1"/>
  <c r="AP410" i="1" s="1"/>
  <c r="N370" i="1"/>
  <c r="AP370" i="1" s="1"/>
  <c r="N261" i="1"/>
  <c r="AP261" i="1" s="1"/>
  <c r="N233" i="1"/>
  <c r="AP233" i="1" s="1"/>
  <c r="N721" i="1"/>
  <c r="AP721" i="1" s="1"/>
  <c r="N569" i="1"/>
  <c r="AP569" i="1" s="1"/>
  <c r="N533" i="1"/>
  <c r="AP533" i="1" s="1"/>
  <c r="N426" i="1"/>
  <c r="AP426" i="1" s="1"/>
  <c r="N398" i="1"/>
  <c r="AP398" i="1" s="1"/>
  <c r="N359" i="1"/>
  <c r="AP359" i="1" s="1"/>
  <c r="N227" i="1"/>
  <c r="AP227" i="1" s="1"/>
  <c r="P461" i="1"/>
  <c r="AU461" i="1" s="1"/>
  <c r="N351" i="1"/>
  <c r="AP351" i="1" s="1"/>
  <c r="N718" i="1"/>
  <c r="AP718" i="1" s="1"/>
  <c r="N543" i="1"/>
  <c r="AP543" i="1" s="1"/>
  <c r="N223" i="1"/>
  <c r="AP223" i="1" s="1"/>
  <c r="N563" i="1"/>
  <c r="AP563" i="1" s="1"/>
  <c r="N732" i="1"/>
  <c r="AP732" i="1" s="1"/>
  <c r="N742" i="1"/>
  <c r="AP742" i="1" s="1"/>
  <c r="N664" i="1"/>
  <c r="AP664" i="1" s="1"/>
  <c r="N545" i="1"/>
  <c r="AP545" i="1" s="1"/>
  <c r="N505" i="1"/>
  <c r="AP505" i="1" s="1"/>
  <c r="N459" i="1"/>
  <c r="AP459" i="1" s="1"/>
  <c r="N406" i="1"/>
  <c r="AP406" i="1" s="1"/>
  <c r="N368" i="1"/>
  <c r="AP368" i="1" s="1"/>
  <c r="N257" i="1"/>
  <c r="AP257" i="1" s="1"/>
  <c r="N228" i="1"/>
  <c r="AP228" i="1" s="1"/>
  <c r="N719" i="1"/>
  <c r="AP719" i="1" s="1"/>
  <c r="N608" i="1"/>
  <c r="AP608" i="1" s="1"/>
  <c r="N565" i="1"/>
  <c r="AP565" i="1" s="1"/>
  <c r="N531" i="1"/>
  <c r="AP531" i="1" s="1"/>
  <c r="N486" i="1"/>
  <c r="AP486" i="1" s="1"/>
  <c r="N424" i="1"/>
  <c r="AP424" i="1" s="1"/>
  <c r="N396" i="1"/>
  <c r="AP396" i="1" s="1"/>
  <c r="N357" i="1"/>
  <c r="AP357" i="1" s="1"/>
  <c r="N315" i="1"/>
  <c r="AP315" i="1" s="1"/>
  <c r="N264" i="1"/>
  <c r="AP264" i="1" s="1"/>
  <c r="P696" i="1"/>
  <c r="N361" i="1"/>
  <c r="AP361" i="1" s="1"/>
  <c r="N22" i="1"/>
  <c r="N36" i="1"/>
  <c r="N158" i="1"/>
  <c r="N160" i="1"/>
  <c r="N150" i="1"/>
  <c r="N71" i="1"/>
  <c r="N131" i="1"/>
  <c r="N487" i="1"/>
  <c r="AP487" i="1" s="1"/>
  <c r="N208" i="1"/>
  <c r="AP208" i="1" s="1"/>
  <c r="AQ643" i="1"/>
  <c r="R643" i="1" s="1"/>
  <c r="N274" i="1"/>
  <c r="AP274" i="1" s="1"/>
  <c r="S337" i="1"/>
  <c r="AQ620" i="1"/>
  <c r="T375" i="1"/>
  <c r="T210" i="1"/>
  <c r="AY210" i="1" s="1"/>
  <c r="N289" i="1"/>
  <c r="AP289" i="1" s="1"/>
  <c r="U455" i="1"/>
  <c r="V455" i="1"/>
  <c r="U697" i="1"/>
  <c r="U458" i="1"/>
  <c r="V458" i="1"/>
  <c r="U647" i="1"/>
  <c r="U304" i="1"/>
  <c r="V304" i="1"/>
  <c r="U590" i="1"/>
  <c r="U639" i="1"/>
  <c r="AQ581" i="1"/>
  <c r="R581" i="1" s="1"/>
  <c r="AW581" i="1" s="1"/>
  <c r="T103" i="1"/>
  <c r="T50" i="1"/>
  <c r="AQ626" i="1"/>
  <c r="R626" i="1" s="1"/>
  <c r="AW626" i="1" s="1"/>
  <c r="S280" i="1"/>
  <c r="T44" i="1"/>
  <c r="S321" i="1"/>
  <c r="T99" i="1"/>
  <c r="T440" i="1"/>
  <c r="AQ651" i="1"/>
  <c r="R651" i="1" s="1"/>
  <c r="AW651" i="1" s="1"/>
  <c r="T53" i="1"/>
  <c r="T20" i="1"/>
  <c r="T191" i="1"/>
  <c r="T73" i="1"/>
  <c r="T123" i="1"/>
  <c r="T196" i="1"/>
  <c r="T83" i="1"/>
  <c r="T151" i="1"/>
  <c r="S336" i="1"/>
  <c r="T251" i="1"/>
  <c r="T194" i="1"/>
  <c r="S328" i="1"/>
  <c r="S333" i="1"/>
  <c r="T161" i="1"/>
  <c r="S69" i="1"/>
  <c r="T192" i="1"/>
  <c r="S288" i="1"/>
  <c r="T447" i="1"/>
  <c r="T620" i="1"/>
  <c r="AY620" i="1" s="1"/>
  <c r="T42" i="1"/>
  <c r="T309" i="1"/>
  <c r="T170" i="1"/>
  <c r="T104" i="1"/>
  <c r="T156" i="1"/>
  <c r="AQ518" i="1"/>
  <c r="R518" i="1" s="1"/>
  <c r="AW518" i="1" s="1"/>
  <c r="T153" i="1"/>
  <c r="T197" i="1"/>
  <c r="T25" i="1"/>
  <c r="AS660" i="1"/>
  <c r="AT660" i="1" s="1"/>
  <c r="T139" i="1"/>
  <c r="T84" i="1"/>
  <c r="T21" i="1"/>
  <c r="S189" i="1"/>
  <c r="AQ225" i="1"/>
  <c r="R225" i="1" s="1"/>
  <c r="AW225" i="1" s="1"/>
  <c r="T31" i="1"/>
  <c r="T155" i="1"/>
  <c r="T62" i="1"/>
  <c r="T119" i="1"/>
  <c r="T129" i="1"/>
  <c r="S146" i="1" s="1"/>
  <c r="T63" i="1"/>
  <c r="S183" i="1"/>
  <c r="AS595" i="1"/>
  <c r="S595" i="1" s="1"/>
  <c r="T85" i="1"/>
  <c r="T32" i="1"/>
  <c r="T87" i="1"/>
  <c r="S120" i="1"/>
  <c r="T157" i="1"/>
  <c r="T30" i="1"/>
  <c r="T90" i="1"/>
  <c r="S193" i="1"/>
  <c r="AW378" i="1"/>
  <c r="T172" i="1"/>
  <c r="T59" i="1"/>
  <c r="S81" i="1" s="1"/>
  <c r="T118" i="1"/>
  <c r="S371" i="1"/>
  <c r="T35" i="1"/>
  <c r="T40" i="1"/>
  <c r="T159" i="1"/>
  <c r="T195" i="1"/>
  <c r="T68" i="1"/>
  <c r="T124" i="1"/>
  <c r="T198" i="1"/>
  <c r="T28" i="1"/>
  <c r="T190" i="1"/>
  <c r="S137" i="1"/>
  <c r="T101" i="1"/>
  <c r="T125" i="1"/>
  <c r="T200" i="1"/>
  <c r="AS648" i="1"/>
  <c r="S648" i="1" s="1"/>
  <c r="T128" i="1"/>
  <c r="T199" i="1"/>
  <c r="T95" i="1"/>
  <c r="S113" i="1"/>
  <c r="T167" i="1"/>
  <c r="T61" i="1"/>
  <c r="T134" i="1"/>
  <c r="T202" i="1"/>
  <c r="T102" i="1"/>
  <c r="AS685" i="1"/>
  <c r="S685" i="1" s="1"/>
  <c r="T152" i="1"/>
  <c r="S317" i="1"/>
  <c r="AS708" i="1"/>
  <c r="S708" i="1" s="1"/>
  <c r="AQ224" i="1"/>
  <c r="S224" i="1" s="1"/>
  <c r="AT424" i="1"/>
  <c r="S682" i="1"/>
  <c r="AS684" i="1"/>
  <c r="AS257" i="1"/>
  <c r="AT257" i="1" s="1"/>
  <c r="AS712" i="1"/>
  <c r="AT712" i="1" s="1"/>
  <c r="AQ572" i="1"/>
  <c r="R572" i="1" s="1"/>
  <c r="AW572" i="1" s="1"/>
  <c r="AS525" i="1"/>
  <c r="S525" i="1" s="1"/>
  <c r="S446" i="1"/>
  <c r="AS438" i="1"/>
  <c r="S438" i="1" s="1"/>
  <c r="AS696" i="1"/>
  <c r="AT696" i="1" s="1"/>
  <c r="AS507" i="1"/>
  <c r="S507" i="1" s="1"/>
  <c r="S130" i="1"/>
  <c r="AS547" i="1"/>
  <c r="S547" i="1" s="1"/>
  <c r="AS537" i="1"/>
  <c r="S537" i="1" s="1"/>
  <c r="AS496" i="1"/>
  <c r="S496" i="1" s="1"/>
  <c r="AS308" i="1"/>
  <c r="AT308" i="1" s="1"/>
  <c r="AQ635" i="1"/>
  <c r="R635" i="1" s="1"/>
  <c r="AW635" i="1" s="1"/>
  <c r="AS490" i="1"/>
  <c r="S490" i="1" s="1"/>
  <c r="S649" i="1"/>
  <c r="S284" i="1"/>
  <c r="AS721" i="1"/>
  <c r="AT721" i="1" s="1"/>
  <c r="AS700" i="1"/>
  <c r="S700" i="1" s="1"/>
  <c r="AS332" i="1"/>
  <c r="AT332" i="1" s="1"/>
  <c r="AS716" i="1"/>
  <c r="AT716" i="1" s="1"/>
  <c r="AS706" i="1"/>
  <c r="AS606" i="1"/>
  <c r="S724" i="1"/>
  <c r="S235" i="1"/>
  <c r="S291" i="1"/>
  <c r="AS705" i="1"/>
  <c r="S705" i="1" s="1"/>
  <c r="AS701" i="1"/>
  <c r="S701" i="1" s="1"/>
  <c r="S188" i="1"/>
  <c r="AQ557" i="1"/>
  <c r="AS678" i="1"/>
  <c r="S678" i="1" s="1"/>
  <c r="T245" i="1"/>
  <c r="AS239" i="1"/>
  <c r="AT239" i="1" s="1"/>
  <c r="AS267" i="1"/>
  <c r="S267" i="1" s="1"/>
  <c r="S316" i="1"/>
  <c r="N669" i="1"/>
  <c r="AP669" i="1" s="1"/>
  <c r="N665" i="1"/>
  <c r="AP665" i="1" s="1"/>
  <c r="S279" i="1"/>
  <c r="N668" i="1"/>
  <c r="AP668" i="1" s="1"/>
  <c r="N618" i="1"/>
  <c r="AP618" i="1" s="1"/>
  <c r="N662" i="1"/>
  <c r="AP662" i="1" s="1"/>
  <c r="S612" i="1"/>
  <c r="S344" i="1"/>
  <c r="N673" i="1"/>
  <c r="AP673" i="1" s="1"/>
  <c r="S610" i="1"/>
  <c r="S633" i="1"/>
  <c r="S746" i="1"/>
  <c r="S91" i="1"/>
  <c r="AS211" i="1"/>
  <c r="AT211" i="1" s="1"/>
  <c r="AQ427" i="1"/>
  <c r="S24" i="1"/>
  <c r="AQ494" i="1"/>
  <c r="R494" i="1" s="1"/>
  <c r="AW494" i="1" s="1"/>
  <c r="AQ230" i="1"/>
  <c r="R230" i="1" s="1"/>
  <c r="AW230" i="1" s="1"/>
  <c r="U18" i="10"/>
  <c r="U19" i="10"/>
  <c r="U20" i="10"/>
  <c r="U21" i="10"/>
  <c r="U22" i="10"/>
  <c r="U23" i="10"/>
  <c r="U24" i="10"/>
  <c r="U25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235" i="10"/>
  <c r="U41" i="10"/>
  <c r="U42" i="10"/>
  <c r="U43" i="10"/>
  <c r="U44" i="10"/>
  <c r="U45" i="10"/>
  <c r="U46" i="10"/>
  <c r="U47" i="10"/>
  <c r="U48" i="10"/>
  <c r="U50" i="10"/>
  <c r="U51" i="10"/>
  <c r="U245" i="10"/>
  <c r="U53" i="10"/>
  <c r="U56" i="10"/>
  <c r="U57" i="10"/>
  <c r="U59" i="10"/>
  <c r="U61" i="10"/>
  <c r="U62" i="10"/>
  <c r="U63" i="10"/>
  <c r="U64" i="10"/>
  <c r="U65" i="10"/>
  <c r="U67" i="10"/>
  <c r="U68" i="10"/>
  <c r="U70" i="10"/>
  <c r="U71" i="10"/>
  <c r="U72" i="10"/>
  <c r="U73" i="10"/>
  <c r="U74" i="10"/>
  <c r="U77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6" i="10"/>
  <c r="U98" i="10"/>
  <c r="U99" i="10"/>
  <c r="U100" i="10"/>
  <c r="U101" i="10"/>
  <c r="U102" i="10"/>
  <c r="U103" i="10"/>
  <c r="U104" i="10"/>
  <c r="U105" i="10"/>
  <c r="U107" i="10"/>
  <c r="U108" i="10"/>
  <c r="U110" i="10"/>
  <c r="U113" i="10"/>
  <c r="U114" i="10"/>
  <c r="U117" i="10"/>
  <c r="U118" i="10"/>
  <c r="U119" i="10"/>
  <c r="U120" i="10"/>
  <c r="U124" i="10"/>
  <c r="U125" i="10"/>
  <c r="U126" i="10"/>
  <c r="U128" i="10"/>
  <c r="U129" i="10"/>
  <c r="U132" i="10"/>
  <c r="U133" i="10"/>
  <c r="U134" i="10"/>
  <c r="U135" i="10"/>
  <c r="U137" i="10"/>
  <c r="U139" i="10"/>
  <c r="U371" i="10"/>
  <c r="U145" i="10"/>
  <c r="U146" i="10"/>
  <c r="U147" i="10"/>
  <c r="U148" i="10"/>
  <c r="U149" i="10"/>
  <c r="U150" i="10"/>
  <c r="U151" i="10"/>
  <c r="U152" i="10"/>
  <c r="U153" i="10"/>
  <c r="U155" i="10"/>
  <c r="U156" i="10"/>
  <c r="U157" i="10"/>
  <c r="U158" i="10"/>
  <c r="U159" i="10"/>
  <c r="U160" i="10"/>
  <c r="U161" i="10"/>
  <c r="U162" i="10"/>
  <c r="U164" i="10"/>
  <c r="U165" i="10"/>
  <c r="U166" i="10"/>
  <c r="U167" i="10"/>
  <c r="U170" i="10"/>
  <c r="U172" i="10"/>
  <c r="U176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3" i="10"/>
  <c r="U194" i="10"/>
  <c r="U195" i="10"/>
  <c r="U196" i="10"/>
  <c r="U197" i="10"/>
  <c r="U198" i="10"/>
  <c r="U199" i="10"/>
  <c r="U200" i="10"/>
  <c r="U201" i="10"/>
  <c r="U202" i="10"/>
  <c r="U208" i="10"/>
  <c r="U209" i="10"/>
  <c r="U210" i="10"/>
  <c r="U211" i="10"/>
  <c r="U212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7" i="10"/>
  <c r="U228" i="10"/>
  <c r="U230" i="10"/>
  <c r="U233" i="10"/>
  <c r="U236" i="10"/>
  <c r="U238" i="10"/>
  <c r="U239" i="10"/>
  <c r="U240" i="10"/>
  <c r="U241" i="10"/>
  <c r="U243" i="10"/>
  <c r="U244" i="10"/>
  <c r="U246" i="10"/>
  <c r="U247" i="10"/>
  <c r="U248" i="10"/>
  <c r="U251" i="10"/>
  <c r="U252" i="10"/>
  <c r="U253" i="10"/>
  <c r="U255" i="10"/>
  <c r="U256" i="10"/>
  <c r="U27" i="10"/>
  <c r="U257" i="10"/>
  <c r="U258" i="10"/>
  <c r="U259" i="10"/>
  <c r="U261" i="10"/>
  <c r="U262" i="10"/>
  <c r="U263" i="10"/>
  <c r="U264" i="10"/>
  <c r="U265" i="10"/>
  <c r="U55" i="10"/>
  <c r="U267" i="10"/>
  <c r="U269" i="10"/>
  <c r="U69" i="10"/>
  <c r="U272" i="10"/>
  <c r="U78" i="10"/>
  <c r="U279" i="10"/>
  <c r="U280" i="10"/>
  <c r="U281" i="10"/>
  <c r="U282" i="10"/>
  <c r="U283" i="10"/>
  <c r="U284" i="10"/>
  <c r="U285" i="10"/>
  <c r="U288" i="10"/>
  <c r="U289" i="10"/>
  <c r="U290" i="10"/>
  <c r="U291" i="10"/>
  <c r="U293" i="10"/>
  <c r="U296" i="10"/>
  <c r="U297" i="10"/>
  <c r="U95" i="10"/>
  <c r="U298" i="10"/>
  <c r="U299" i="10"/>
  <c r="U301" i="10"/>
  <c r="U302" i="10"/>
  <c r="U303" i="10"/>
  <c r="U304" i="10"/>
  <c r="U309" i="10"/>
  <c r="U308" i="10"/>
  <c r="U312" i="10"/>
  <c r="U313" i="10"/>
  <c r="U314" i="10"/>
  <c r="U315" i="10"/>
  <c r="U316" i="10"/>
  <c r="U317" i="10"/>
  <c r="U318" i="10"/>
  <c r="U319" i="10"/>
  <c r="U320" i="10"/>
  <c r="U109" i="10"/>
  <c r="U321" i="10"/>
  <c r="U322" i="10"/>
  <c r="U112" i="10"/>
  <c r="U325" i="10"/>
  <c r="U115" i="10"/>
  <c r="U116" i="10"/>
  <c r="U326" i="10"/>
  <c r="U327" i="10"/>
  <c r="U328" i="10"/>
  <c r="U330" i="10"/>
  <c r="U332" i="10"/>
  <c r="U333" i="10"/>
  <c r="U334" i="10"/>
  <c r="U336" i="10"/>
  <c r="U337" i="10"/>
  <c r="U339" i="10"/>
  <c r="U340" i="10"/>
  <c r="U341" i="10"/>
  <c r="U343" i="10"/>
  <c r="U344" i="10"/>
  <c r="U345" i="10"/>
  <c r="U130" i="10"/>
  <c r="U346" i="10"/>
  <c r="U351" i="10"/>
  <c r="U352" i="10"/>
  <c r="U353" i="10"/>
  <c r="U356" i="10"/>
  <c r="U355" i="10"/>
  <c r="U357" i="10"/>
  <c r="U358" i="10"/>
  <c r="U359" i="10"/>
  <c r="U360" i="10"/>
  <c r="U361" i="10"/>
  <c r="U362" i="10"/>
  <c r="U394" i="10"/>
  <c r="U395" i="10"/>
  <c r="U396" i="10"/>
  <c r="U397" i="10"/>
  <c r="U398" i="10"/>
  <c r="U399" i="10"/>
  <c r="U400" i="10"/>
  <c r="U401" i="10"/>
  <c r="U402" i="10"/>
  <c r="U403" i="10"/>
  <c r="U404" i="10"/>
  <c r="U405" i="10"/>
  <c r="U406" i="10"/>
  <c r="U407" i="10"/>
  <c r="U408" i="10"/>
  <c r="U409" i="10"/>
  <c r="U410" i="10"/>
  <c r="U411" i="10"/>
  <c r="U412" i="10"/>
  <c r="U413" i="10"/>
  <c r="U414" i="10"/>
  <c r="U415" i="10"/>
  <c r="U416" i="10"/>
  <c r="U417" i="10"/>
  <c r="U419" i="10"/>
  <c r="U420" i="10"/>
  <c r="U421" i="10"/>
  <c r="U422" i="10"/>
  <c r="U423" i="10"/>
  <c r="U424" i="10"/>
  <c r="U425" i="10"/>
  <c r="U426" i="10"/>
  <c r="U427" i="10"/>
  <c r="U428" i="10"/>
  <c r="U429" i="10"/>
  <c r="U430" i="10"/>
  <c r="U431" i="10"/>
  <c r="U432" i="10"/>
  <c r="U433" i="10"/>
  <c r="U435" i="10"/>
  <c r="U436" i="10"/>
  <c r="U437" i="10"/>
  <c r="U438" i="10"/>
  <c r="U440" i="10"/>
  <c r="U441" i="10"/>
  <c r="U442" i="10"/>
  <c r="U443" i="10"/>
  <c r="U445" i="10"/>
  <c r="U446" i="10"/>
  <c r="U447" i="10"/>
  <c r="U448" i="10"/>
  <c r="U449" i="10"/>
  <c r="U452" i="10"/>
  <c r="U453" i="10"/>
  <c r="U454" i="10"/>
  <c r="U455" i="10"/>
  <c r="U456" i="10"/>
  <c r="U457" i="10"/>
  <c r="U458" i="10"/>
  <c r="U459" i="10"/>
  <c r="U460" i="10"/>
  <c r="U461" i="10"/>
  <c r="U179" i="10"/>
  <c r="U462" i="10"/>
  <c r="U463" i="10"/>
  <c r="U464" i="10"/>
  <c r="U465" i="10"/>
  <c r="U466" i="10"/>
  <c r="U467" i="10"/>
  <c r="U468" i="10"/>
  <c r="U469" i="10"/>
  <c r="U192" i="10"/>
  <c r="U482" i="10"/>
  <c r="U483" i="10"/>
  <c r="U484" i="10"/>
  <c r="U485" i="10"/>
  <c r="U486" i="10"/>
  <c r="U487" i="10"/>
  <c r="U488" i="10"/>
  <c r="U489" i="10"/>
  <c r="U490" i="10"/>
  <c r="U491" i="10"/>
  <c r="U492" i="10"/>
  <c r="U493" i="10"/>
  <c r="U494" i="10"/>
  <c r="U496" i="10"/>
  <c r="U497" i="10"/>
  <c r="U500" i="10"/>
  <c r="U505" i="10"/>
  <c r="U506" i="10"/>
  <c r="U507" i="10"/>
  <c r="U508" i="10"/>
  <c r="U509" i="10"/>
  <c r="U511" i="10"/>
  <c r="U512" i="10"/>
  <c r="U513" i="10"/>
  <c r="U514" i="10"/>
  <c r="U515" i="10"/>
  <c r="U518" i="10"/>
  <c r="U519" i="10"/>
  <c r="U520" i="10"/>
  <c r="U521" i="10"/>
  <c r="U522" i="10"/>
  <c r="U523" i="10"/>
  <c r="U524" i="10"/>
  <c r="U525" i="10"/>
  <c r="U526" i="10"/>
  <c r="U527" i="10"/>
  <c r="U528" i="10"/>
  <c r="U529" i="10"/>
  <c r="U530" i="10"/>
  <c r="U531" i="10"/>
  <c r="U532" i="10"/>
  <c r="U533" i="10"/>
  <c r="U535" i="10"/>
  <c r="U536" i="10"/>
  <c r="U537" i="10"/>
  <c r="U539" i="10"/>
  <c r="U540" i="10"/>
  <c r="U541" i="10"/>
  <c r="U542" i="10"/>
  <c r="U543" i="10"/>
  <c r="U544" i="10"/>
  <c r="U545" i="10"/>
  <c r="U546" i="10"/>
  <c r="U547" i="10"/>
  <c r="U548" i="10"/>
  <c r="U549" i="10"/>
  <c r="U550" i="10"/>
  <c r="U551" i="10"/>
  <c r="U552" i="10"/>
  <c r="U553" i="10"/>
  <c r="U554" i="10"/>
  <c r="U555" i="10"/>
  <c r="U556" i="10"/>
  <c r="U557" i="10"/>
  <c r="U558" i="10"/>
  <c r="U559" i="10"/>
  <c r="U560" i="10"/>
  <c r="U561" i="10"/>
  <c r="U562" i="10"/>
  <c r="U563" i="10"/>
  <c r="U564" i="10"/>
  <c r="U565" i="10"/>
  <c r="U566" i="10"/>
  <c r="U567" i="10"/>
  <c r="U568" i="10"/>
  <c r="U569" i="10"/>
  <c r="U570" i="10"/>
  <c r="U571" i="10"/>
  <c r="U572" i="10"/>
  <c r="U573" i="10"/>
  <c r="U574" i="10"/>
  <c r="U575" i="10"/>
  <c r="U576" i="10"/>
  <c r="U577" i="10"/>
  <c r="U578" i="10"/>
  <c r="U579" i="10"/>
  <c r="U580" i="10"/>
  <c r="U581" i="10"/>
  <c r="U582" i="10"/>
  <c r="U583" i="10"/>
  <c r="U584" i="10"/>
  <c r="U585" i="10"/>
  <c r="U586" i="10"/>
  <c r="U587" i="10"/>
  <c r="U588" i="10"/>
  <c r="U589" i="10"/>
  <c r="U590" i="10"/>
  <c r="U591" i="10"/>
  <c r="U592" i="10"/>
  <c r="U594" i="10"/>
  <c r="U595" i="10"/>
  <c r="U596" i="10"/>
  <c r="U597" i="10"/>
  <c r="U599" i="10"/>
  <c r="U600" i="10"/>
  <c r="U601" i="10"/>
  <c r="U602" i="10"/>
  <c r="U603" i="10"/>
  <c r="U604" i="10"/>
  <c r="U605" i="10"/>
  <c r="U606" i="10"/>
  <c r="U607" i="10"/>
  <c r="U608" i="10"/>
  <c r="U609" i="10"/>
  <c r="U610" i="10"/>
  <c r="U611" i="10"/>
  <c r="U612" i="10"/>
  <c r="U613" i="10"/>
  <c r="U614" i="10"/>
  <c r="U615" i="10"/>
  <c r="U616" i="10"/>
  <c r="U617" i="10"/>
  <c r="U618" i="10"/>
  <c r="U619" i="10"/>
  <c r="U620" i="10"/>
  <c r="U621" i="10"/>
  <c r="U622" i="10"/>
  <c r="U623" i="10"/>
  <c r="U624" i="10"/>
  <c r="U625" i="10"/>
  <c r="U626" i="10"/>
  <c r="U627" i="10"/>
  <c r="U628" i="10"/>
  <c r="U629" i="10"/>
  <c r="U630" i="10"/>
  <c r="U631" i="10"/>
  <c r="U632" i="10"/>
  <c r="U633" i="10"/>
  <c r="U634" i="10"/>
  <c r="U635" i="10"/>
  <c r="U636" i="10"/>
  <c r="U637" i="10"/>
  <c r="U639" i="10"/>
  <c r="U640" i="10"/>
  <c r="U641" i="10"/>
  <c r="U643" i="10"/>
  <c r="U644" i="10"/>
  <c r="U646" i="10"/>
  <c r="U647" i="10"/>
  <c r="U648" i="10"/>
  <c r="U649" i="10"/>
  <c r="U650" i="10"/>
  <c r="U651" i="10"/>
  <c r="U652" i="10"/>
  <c r="U131" i="10"/>
  <c r="U653" i="10"/>
  <c r="U654" i="10"/>
  <c r="U655" i="10"/>
  <c r="U656" i="10"/>
  <c r="U657" i="10"/>
  <c r="U658" i="10"/>
  <c r="U659" i="10"/>
  <c r="U660" i="10"/>
  <c r="U661" i="10"/>
  <c r="U662" i="10"/>
  <c r="U663" i="10"/>
  <c r="U664" i="10"/>
  <c r="U665" i="10"/>
  <c r="U666" i="10"/>
  <c r="U667" i="10"/>
  <c r="U668" i="10"/>
  <c r="U669" i="10"/>
  <c r="U670" i="10"/>
  <c r="U671" i="10"/>
  <c r="U672" i="10"/>
  <c r="U673" i="10"/>
  <c r="U674" i="10"/>
  <c r="U675" i="10"/>
  <c r="U676" i="10"/>
  <c r="U678" i="10"/>
  <c r="U679" i="10"/>
  <c r="U680" i="10"/>
  <c r="U681" i="10"/>
  <c r="U682" i="10"/>
  <c r="U683" i="10"/>
  <c r="U684" i="10"/>
  <c r="U685" i="10"/>
  <c r="U686" i="10"/>
  <c r="U687" i="10"/>
  <c r="U688" i="10"/>
  <c r="U689" i="10"/>
  <c r="U690" i="10"/>
  <c r="U691" i="10"/>
  <c r="U692" i="10"/>
  <c r="U693" i="10"/>
  <c r="U694" i="10"/>
  <c r="U695" i="10"/>
  <c r="U696" i="10"/>
  <c r="U698" i="10"/>
  <c r="U699" i="10"/>
  <c r="U700" i="10"/>
  <c r="U701" i="10"/>
  <c r="U702" i="10"/>
  <c r="U703" i="10"/>
  <c r="U704" i="10"/>
  <c r="U705" i="10"/>
  <c r="U706" i="10"/>
  <c r="U707" i="10"/>
  <c r="U708" i="10"/>
  <c r="U709" i="10"/>
  <c r="U710" i="10"/>
  <c r="U711" i="10"/>
  <c r="U712" i="10"/>
  <c r="U713" i="10"/>
  <c r="U714" i="10"/>
  <c r="U715" i="10"/>
  <c r="U716" i="10"/>
  <c r="U717" i="10"/>
  <c r="U718" i="10"/>
  <c r="U719" i="10"/>
  <c r="U720" i="10"/>
  <c r="U721" i="10"/>
  <c r="U722" i="10"/>
  <c r="U723" i="10"/>
  <c r="U724" i="10"/>
  <c r="U725" i="10"/>
  <c r="U726" i="10"/>
  <c r="U727" i="10"/>
  <c r="U728" i="10"/>
  <c r="U729" i="10"/>
  <c r="U730" i="10"/>
  <c r="U731" i="10"/>
  <c r="U732" i="10"/>
  <c r="U733" i="10"/>
  <c r="U734" i="10"/>
  <c r="U735" i="10"/>
  <c r="U736" i="10"/>
  <c r="U737" i="10"/>
  <c r="U738" i="10"/>
  <c r="U740" i="10"/>
  <c r="U741" i="10"/>
  <c r="U742" i="10"/>
  <c r="U743" i="10"/>
  <c r="U744" i="10"/>
  <c r="U745" i="10"/>
  <c r="U746" i="10"/>
  <c r="U747" i="10"/>
  <c r="U748" i="10"/>
  <c r="U749" i="10"/>
  <c r="U750" i="10"/>
  <c r="U751" i="10"/>
  <c r="U752" i="10"/>
  <c r="U753" i="10"/>
  <c r="U540" i="1" l="1"/>
  <c r="N528" i="1"/>
  <c r="AP528" i="1" s="1"/>
  <c r="AT582" i="1"/>
  <c r="AP158" i="1"/>
  <c r="AP78" i="1"/>
  <c r="AP52" i="1"/>
  <c r="AP36" i="1"/>
  <c r="AP126" i="1"/>
  <c r="AP22" i="1"/>
  <c r="AP75" i="1"/>
  <c r="AP169" i="1"/>
  <c r="AP94" i="1"/>
  <c r="AP112" i="1"/>
  <c r="AP173" i="1"/>
  <c r="AP64" i="1"/>
  <c r="AP176" i="1"/>
  <c r="AP179" i="1"/>
  <c r="AP143" i="1"/>
  <c r="AP131" i="1"/>
  <c r="AP145" i="1"/>
  <c r="AP71" i="1"/>
  <c r="AP160" i="1"/>
  <c r="AP136" i="1"/>
  <c r="AP150" i="1"/>
  <c r="V453" i="1"/>
  <c r="U453" i="1"/>
  <c r="V475" i="1"/>
  <c r="U475" i="1"/>
  <c r="V237" i="1"/>
  <c r="S706" i="1"/>
  <c r="AT706" i="1" s="1"/>
  <c r="U551" i="1"/>
  <c r="AT234" i="1"/>
  <c r="N582" i="1"/>
  <c r="AP582" i="1" s="1"/>
  <c r="AX234" i="1"/>
  <c r="AU585" i="1"/>
  <c r="AP439" i="1"/>
  <c r="U237" i="1"/>
  <c r="U439" i="1"/>
  <c r="AT606" i="1"/>
  <c r="N606" i="1"/>
  <c r="AP606" i="1" s="1"/>
  <c r="AX474" i="1"/>
  <c r="V232" i="1"/>
  <c r="U232" i="1"/>
  <c r="T474" i="1"/>
  <c r="AY474" i="1" s="1"/>
  <c r="U625" i="1"/>
  <c r="N473" i="1"/>
  <c r="AX231" i="1"/>
  <c r="AT231" i="1"/>
  <c r="AX471" i="1"/>
  <c r="AT471" i="1"/>
  <c r="AP111" i="1"/>
  <c r="U111" i="1"/>
  <c r="V111" i="1"/>
  <c r="T231" i="1"/>
  <c r="N231" i="1" s="1"/>
  <c r="AP231" i="1" s="1"/>
  <c r="AP444" i="1"/>
  <c r="U444" i="1"/>
  <c r="V444" i="1"/>
  <c r="N472" i="1"/>
  <c r="N234" i="1"/>
  <c r="AY234" i="1"/>
  <c r="AS260" i="1"/>
  <c r="AT260" i="1" s="1"/>
  <c r="AT52" i="1"/>
  <c r="T323" i="1"/>
  <c r="AY323" i="1" s="1"/>
  <c r="AT146" i="1"/>
  <c r="AS387" i="1"/>
  <c r="AT98" i="1"/>
  <c r="AS305" i="1"/>
  <c r="AT305" i="1" s="1"/>
  <c r="U287" i="1"/>
  <c r="AP287" i="1"/>
  <c r="V287" i="1"/>
  <c r="AQ277" i="1"/>
  <c r="AS277" i="1"/>
  <c r="AT277" i="1" s="1"/>
  <c r="U729" i="1"/>
  <c r="U640" i="1"/>
  <c r="U656" i="1"/>
  <c r="U730" i="1"/>
  <c r="U727" i="1"/>
  <c r="U255" i="1"/>
  <c r="U716" i="1"/>
  <c r="V255" i="1"/>
  <c r="U686" i="1"/>
  <c r="U687" i="1"/>
  <c r="U691" i="1"/>
  <c r="U495" i="1"/>
  <c r="U248" i="1"/>
  <c r="U558" i="1"/>
  <c r="U725" i="1"/>
  <c r="U661" i="1"/>
  <c r="U752" i="1"/>
  <c r="V431" i="1"/>
  <c r="U728" i="1"/>
  <c r="V217" i="1"/>
  <c r="U689" i="1"/>
  <c r="V373" i="1"/>
  <c r="U296" i="1"/>
  <c r="U676" i="1"/>
  <c r="U650" i="1"/>
  <c r="U412" i="1"/>
  <c r="U373" i="1"/>
  <c r="V412" i="1"/>
  <c r="U553" i="1"/>
  <c r="U679" i="1"/>
  <c r="V244" i="1"/>
  <c r="U731" i="1"/>
  <c r="U244" i="1"/>
  <c r="U312" i="1"/>
  <c r="U528" i="1"/>
  <c r="U318" i="1"/>
  <c r="V312" i="1"/>
  <c r="N445" i="1"/>
  <c r="AP445" i="1" s="1"/>
  <c r="U463" i="1"/>
  <c r="V318" i="1"/>
  <c r="U415" i="1"/>
  <c r="V463" i="1"/>
  <c r="V415" i="1"/>
  <c r="V495" i="1"/>
  <c r="U334" i="1"/>
  <c r="U217" i="1"/>
  <c r="U465" i="1"/>
  <c r="U259" i="1"/>
  <c r="V465" i="1"/>
  <c r="V334" i="1"/>
  <c r="U449" i="1"/>
  <c r="V320" i="1"/>
  <c r="U423" i="1"/>
  <c r="V339" i="1"/>
  <c r="V462" i="1"/>
  <c r="U462" i="1"/>
  <c r="U707" i="1"/>
  <c r="V423" i="1"/>
  <c r="U339" i="1"/>
  <c r="U690" i="1"/>
  <c r="U417" i="1"/>
  <c r="U644" i="1"/>
  <c r="U738" i="1"/>
  <c r="U571" i="1"/>
  <c r="AX446" i="1"/>
  <c r="AT446" i="1"/>
  <c r="AX711" i="1"/>
  <c r="AT711" i="1"/>
  <c r="AX713" i="1"/>
  <c r="AT713" i="1"/>
  <c r="U143" i="1"/>
  <c r="AX323" i="1"/>
  <c r="AT323" i="1"/>
  <c r="AX714" i="1"/>
  <c r="AT714" i="1"/>
  <c r="N753" i="1"/>
  <c r="AY753" i="1"/>
  <c r="U693" i="1"/>
  <c r="AX291" i="1"/>
  <c r="AT291" i="1"/>
  <c r="U560" i="1"/>
  <c r="U680" i="1"/>
  <c r="V297" i="1"/>
  <c r="AP532" i="1"/>
  <c r="V259" i="1"/>
  <c r="AX710" i="1"/>
  <c r="AT710" i="1"/>
  <c r="U653" i="1"/>
  <c r="AX735" i="1"/>
  <c r="AT735" i="1"/>
  <c r="T313" i="1"/>
  <c r="AX313" i="1"/>
  <c r="AT313" i="1"/>
  <c r="AX737" i="1"/>
  <c r="AT737" i="1"/>
  <c r="AX595" i="1"/>
  <c r="AT595" i="1"/>
  <c r="S269" i="1"/>
  <c r="N269" i="1" s="1"/>
  <c r="AP269" i="1" s="1"/>
  <c r="AW269" i="1"/>
  <c r="AX341" i="1"/>
  <c r="AT341" i="1"/>
  <c r="V143" i="1"/>
  <c r="AX507" i="1"/>
  <c r="AT507" i="1"/>
  <c r="U672" i="1"/>
  <c r="U297" i="1"/>
  <c r="U681" i="1"/>
  <c r="V452" i="1"/>
  <c r="U452" i="1"/>
  <c r="U429" i="1"/>
  <c r="U320" i="1"/>
  <c r="V429" i="1"/>
  <c r="AX746" i="1"/>
  <c r="AT746" i="1"/>
  <c r="N385" i="1"/>
  <c r="AP385" i="1" s="1"/>
  <c r="AY385" i="1"/>
  <c r="AX267" i="1"/>
  <c r="AT267" i="1"/>
  <c r="AX224" i="1"/>
  <c r="AT224" i="1"/>
  <c r="T120" i="1"/>
  <c r="N120" i="1" s="1"/>
  <c r="AT120" i="1"/>
  <c r="AX69" i="1"/>
  <c r="AT69" i="1"/>
  <c r="N587" i="1"/>
  <c r="AY587" i="1"/>
  <c r="N214" i="1"/>
  <c r="AY214" i="1"/>
  <c r="AU268" i="1"/>
  <c r="AS493" i="1"/>
  <c r="AT493" i="1" s="1"/>
  <c r="AX213" i="1"/>
  <c r="AT213" i="1"/>
  <c r="N434" i="1"/>
  <c r="AP434" i="1" s="1"/>
  <c r="AY434" i="1"/>
  <c r="AX694" i="1"/>
  <c r="AT694" i="1"/>
  <c r="N345" i="1"/>
  <c r="AY345" i="1"/>
  <c r="AX700" i="1"/>
  <c r="AT700" i="1"/>
  <c r="T115" i="1"/>
  <c r="N115" i="1" s="1"/>
  <c r="AT91" i="1"/>
  <c r="AX705" i="1"/>
  <c r="AT705" i="1"/>
  <c r="AX496" i="1"/>
  <c r="AT496" i="1"/>
  <c r="AX525" i="1"/>
  <c r="AT525" i="1"/>
  <c r="AX708" i="1"/>
  <c r="AT708" i="1"/>
  <c r="N81" i="1"/>
  <c r="AT81" i="1"/>
  <c r="N440" i="1"/>
  <c r="AP440" i="1" s="1"/>
  <c r="AY440" i="1"/>
  <c r="U726" i="1"/>
  <c r="U692" i="1"/>
  <c r="U683" i="1"/>
  <c r="T355" i="1"/>
  <c r="AX337" i="1"/>
  <c r="AT337" i="1"/>
  <c r="U326" i="1"/>
  <c r="U641" i="1"/>
  <c r="V326" i="1"/>
  <c r="N342" i="1"/>
  <c r="AP342" i="1" s="1"/>
  <c r="AY342" i="1"/>
  <c r="N467" i="1"/>
  <c r="AP467" i="1" s="1"/>
  <c r="AY467" i="1"/>
  <c r="AX330" i="1"/>
  <c r="AT330" i="1"/>
  <c r="AS518" i="1"/>
  <c r="AT235" i="1"/>
  <c r="T138" i="1"/>
  <c r="AX333" i="1"/>
  <c r="AT333" i="1"/>
  <c r="AX321" i="1"/>
  <c r="AT321" i="1"/>
  <c r="U586" i="1"/>
  <c r="V449" i="1"/>
  <c r="N632" i="1"/>
  <c r="AP632" i="1" s="1"/>
  <c r="AY632" i="1"/>
  <c r="N392" i="1"/>
  <c r="AP392" i="1" s="1"/>
  <c r="AY392" i="1"/>
  <c r="N266" i="1"/>
  <c r="AP266" i="1" s="1"/>
  <c r="AY266" i="1"/>
  <c r="AX307" i="1"/>
  <c r="AT307" i="1"/>
  <c r="T135" i="1"/>
  <c r="N135" i="1" s="1"/>
  <c r="AT115" i="1"/>
  <c r="AX138" i="1"/>
  <c r="AT138" i="1"/>
  <c r="N376" i="1"/>
  <c r="AP376" i="1" s="1"/>
  <c r="AY376" i="1"/>
  <c r="N584" i="1"/>
  <c r="AP584" i="1" s="1"/>
  <c r="AY584" i="1"/>
  <c r="N277" i="1"/>
  <c r="AP277" i="1" s="1"/>
  <c r="AY277" i="1"/>
  <c r="AX355" i="1"/>
  <c r="AT355" i="1"/>
  <c r="N599" i="1"/>
  <c r="AY599" i="1"/>
  <c r="N469" i="1"/>
  <c r="AY469" i="1"/>
  <c r="AX614" i="1"/>
  <c r="AT614" i="1"/>
  <c r="AX596" i="1"/>
  <c r="AT596" i="1"/>
  <c r="AX633" i="1"/>
  <c r="AT633" i="1"/>
  <c r="T24" i="1"/>
  <c r="N24" i="1" s="1"/>
  <c r="AT24" i="1"/>
  <c r="AX610" i="1"/>
  <c r="AT610" i="1"/>
  <c r="AX279" i="1"/>
  <c r="AT279" i="1"/>
  <c r="AX724" i="1"/>
  <c r="AT724" i="1"/>
  <c r="AX284" i="1"/>
  <c r="AT284" i="1"/>
  <c r="T130" i="1"/>
  <c r="AT130" i="1"/>
  <c r="AX685" i="1"/>
  <c r="AT685" i="1"/>
  <c r="T137" i="1"/>
  <c r="N137" i="1" s="1"/>
  <c r="AT137" i="1"/>
  <c r="T193" i="1"/>
  <c r="N193" i="1" s="1"/>
  <c r="AT193" i="1"/>
  <c r="AX328" i="1"/>
  <c r="AT328" i="1"/>
  <c r="U688" i="1"/>
  <c r="U523" i="1"/>
  <c r="U659" i="1"/>
  <c r="T657" i="1"/>
  <c r="AU657" i="1"/>
  <c r="N215" i="1"/>
  <c r="AP215" i="1" s="1"/>
  <c r="AY215" i="1"/>
  <c r="U52" i="1"/>
  <c r="N442" i="1"/>
  <c r="AP442" i="1" s="1"/>
  <c r="AY442" i="1"/>
  <c r="N216" i="1"/>
  <c r="AP216" i="1" s="1"/>
  <c r="AY216" i="1"/>
  <c r="T386" i="1"/>
  <c r="AY386" i="1" s="1"/>
  <c r="AU386" i="1"/>
  <c r="N420" i="1"/>
  <c r="AP420" i="1" s="1"/>
  <c r="AY420" i="1"/>
  <c r="N592" i="1"/>
  <c r="AY592" i="1"/>
  <c r="AX329" i="1"/>
  <c r="AT329" i="1"/>
  <c r="AX678" i="1"/>
  <c r="AT678" i="1"/>
  <c r="AX547" i="1"/>
  <c r="AT547" i="1"/>
  <c r="AS654" i="1"/>
  <c r="AT113" i="1"/>
  <c r="S751" i="1"/>
  <c r="AW751" i="1"/>
  <c r="AX649" i="1"/>
  <c r="AT649" i="1"/>
  <c r="AX684" i="1"/>
  <c r="AT684" i="1"/>
  <c r="T209" i="1"/>
  <c r="N447" i="1"/>
  <c r="AP447" i="1" s="1"/>
  <c r="AY447" i="1"/>
  <c r="AX280" i="1"/>
  <c r="AT280" i="1"/>
  <c r="U634" i="1"/>
  <c r="N375" i="1"/>
  <c r="AP375" i="1" s="1"/>
  <c r="AY375" i="1"/>
  <c r="V296" i="1"/>
  <c r="N552" i="1"/>
  <c r="AP552" i="1" s="1"/>
  <c r="AY552" i="1"/>
  <c r="T436" i="1"/>
  <c r="AU436" i="1"/>
  <c r="V52" i="1"/>
  <c r="N218" i="1"/>
  <c r="AP218" i="1" s="1"/>
  <c r="AY218" i="1"/>
  <c r="N285" i="1"/>
  <c r="AY285" i="1"/>
  <c r="N428" i="1"/>
  <c r="AY428" i="1"/>
  <c r="AP491" i="1"/>
  <c r="AX611" i="1"/>
  <c r="AT611" i="1"/>
  <c r="AX602" i="1"/>
  <c r="AT602" i="1"/>
  <c r="AX317" i="1"/>
  <c r="AT317" i="1"/>
  <c r="N329" i="1"/>
  <c r="AP329" i="1" s="1"/>
  <c r="AY329" i="1"/>
  <c r="AX344" i="1"/>
  <c r="AT344" i="1"/>
  <c r="AX490" i="1"/>
  <c r="AT490" i="1"/>
  <c r="AX682" i="1"/>
  <c r="AT682" i="1"/>
  <c r="AX288" i="1"/>
  <c r="AT288" i="1"/>
  <c r="U717" i="1"/>
  <c r="S643" i="1"/>
  <c r="N643" i="1" s="1"/>
  <c r="AP643" i="1" s="1"/>
  <c r="AW643" i="1"/>
  <c r="U468" i="1"/>
  <c r="N660" i="1"/>
  <c r="AP660" i="1" s="1"/>
  <c r="AY660" i="1"/>
  <c r="V468" i="1"/>
  <c r="N464" i="1"/>
  <c r="AP464" i="1" s="1"/>
  <c r="AY464" i="1"/>
  <c r="N390" i="1"/>
  <c r="AP390" i="1" s="1"/>
  <c r="AY390" i="1"/>
  <c r="N408" i="1"/>
  <c r="AY408" i="1"/>
  <c r="T567" i="1"/>
  <c r="AU567" i="1"/>
  <c r="N219" i="1"/>
  <c r="AP219" i="1" s="1"/>
  <c r="AY219" i="1"/>
  <c r="N270" i="1"/>
  <c r="AP270" i="1" s="1"/>
  <c r="AY270" i="1"/>
  <c r="AX293" i="1"/>
  <c r="AT293" i="1"/>
  <c r="N585" i="1"/>
  <c r="AY585" i="1"/>
  <c r="AX314" i="1"/>
  <c r="AT314" i="1"/>
  <c r="N414" i="1"/>
  <c r="AY414" i="1"/>
  <c r="AX362" i="1"/>
  <c r="AT362" i="1"/>
  <c r="AX537" i="1"/>
  <c r="AT537" i="1"/>
  <c r="T437" i="1"/>
  <c r="AY437" i="1" s="1"/>
  <c r="AU437" i="1"/>
  <c r="AS632" i="1"/>
  <c r="AT632" i="1" s="1"/>
  <c r="AX331" i="1"/>
  <c r="AT331" i="1"/>
  <c r="N667" i="1"/>
  <c r="AY667" i="1"/>
  <c r="AX612" i="1"/>
  <c r="AT612" i="1"/>
  <c r="AX316" i="1"/>
  <c r="AT316" i="1"/>
  <c r="AX701" i="1"/>
  <c r="AT701" i="1"/>
  <c r="AX438" i="1"/>
  <c r="AT438" i="1"/>
  <c r="AX648" i="1"/>
  <c r="AT648" i="1"/>
  <c r="T371" i="1"/>
  <c r="N371" i="1" s="1"/>
  <c r="AP371" i="1" s="1"/>
  <c r="AT371" i="1"/>
  <c r="AX336" i="1"/>
  <c r="AT336" i="1"/>
  <c r="N696" i="1"/>
  <c r="AP696" i="1" s="1"/>
  <c r="AU696" i="1"/>
  <c r="T506" i="1"/>
  <c r="AU506" i="1"/>
  <c r="AX335" i="1"/>
  <c r="AT335" i="1"/>
  <c r="N443" i="1"/>
  <c r="AP443" i="1" s="1"/>
  <c r="AY443" i="1"/>
  <c r="T74" i="1"/>
  <c r="N74" i="1" s="1"/>
  <c r="AT74" i="1"/>
  <c r="N427" i="1"/>
  <c r="U427" i="1" s="1"/>
  <c r="AY427" i="1"/>
  <c r="N300" i="1"/>
  <c r="AP300" i="1" s="1"/>
  <c r="AY300" i="1"/>
  <c r="AX604" i="1"/>
  <c r="AT604" i="1"/>
  <c r="N393" i="1"/>
  <c r="AP393" i="1" s="1"/>
  <c r="AY393" i="1"/>
  <c r="N616" i="1"/>
  <c r="AP616" i="1" s="1"/>
  <c r="AY616" i="1"/>
  <c r="N411" i="1"/>
  <c r="AY411" i="1"/>
  <c r="AX630" i="1"/>
  <c r="AT630" i="1"/>
  <c r="AX666" i="1"/>
  <c r="AT666" i="1"/>
  <c r="N301" i="1"/>
  <c r="AP301" i="1" s="1"/>
  <c r="AY301" i="1"/>
  <c r="N309" i="1"/>
  <c r="AP309" i="1" s="1"/>
  <c r="AY309" i="1"/>
  <c r="U704" i="1"/>
  <c r="T331" i="1"/>
  <c r="V409" i="1"/>
  <c r="V405" i="1"/>
  <c r="U675" i="1"/>
  <c r="AP675" i="1"/>
  <c r="N613" i="1"/>
  <c r="U613" i="1" s="1"/>
  <c r="T307" i="1"/>
  <c r="AY307" i="1" s="1"/>
  <c r="T335" i="1"/>
  <c r="T341" i="1"/>
  <c r="T45" i="1"/>
  <c r="T441" i="1"/>
  <c r="T451" i="1"/>
  <c r="T303" i="1"/>
  <c r="U173" i="1"/>
  <c r="V173" i="1"/>
  <c r="P456" i="1"/>
  <c r="T456" i="1" s="1"/>
  <c r="S518" i="1"/>
  <c r="T346" i="1"/>
  <c r="T163" i="1"/>
  <c r="N163" i="1" s="1"/>
  <c r="P353" i="1"/>
  <c r="T340" i="1"/>
  <c r="T110" i="1"/>
  <c r="N110" i="1" s="1"/>
  <c r="S391" i="1"/>
  <c r="S581" i="1"/>
  <c r="N581" i="1" s="1"/>
  <c r="AP581" i="1" s="1"/>
  <c r="T583" i="1"/>
  <c r="T461" i="1"/>
  <c r="T471" i="1"/>
  <c r="N450" i="1"/>
  <c r="AP450" i="1" s="1"/>
  <c r="T460" i="1"/>
  <c r="T140" i="1"/>
  <c r="N140" i="1" s="1"/>
  <c r="T714" i="1"/>
  <c r="U136" i="1"/>
  <c r="V136" i="1"/>
  <c r="T492" i="1"/>
  <c r="T549" i="1"/>
  <c r="S626" i="1"/>
  <c r="N626" i="1" s="1"/>
  <c r="AP626" i="1" s="1"/>
  <c r="T628" i="1"/>
  <c r="N154" i="1"/>
  <c r="T713" i="1"/>
  <c r="T213" i="1"/>
  <c r="T737" i="1"/>
  <c r="T310" i="1"/>
  <c r="N98" i="1"/>
  <c r="N122" i="1"/>
  <c r="S635" i="1"/>
  <c r="T133" i="1"/>
  <c r="N293" i="1"/>
  <c r="AP293" i="1" s="1"/>
  <c r="T352" i="1"/>
  <c r="T711" i="1"/>
  <c r="N636" i="1"/>
  <c r="AP636" i="1" s="1"/>
  <c r="N735" i="1"/>
  <c r="AP735" i="1" s="1"/>
  <c r="V169" i="1"/>
  <c r="U169" i="1"/>
  <c r="T298" i="1"/>
  <c r="N162" i="1"/>
  <c r="T710" i="1"/>
  <c r="T91" i="1"/>
  <c r="N91" i="1" s="1"/>
  <c r="N146" i="1"/>
  <c r="AS397" i="1"/>
  <c r="S397" i="1" s="1"/>
  <c r="T615" i="1"/>
  <c r="V75" i="1"/>
  <c r="U75" i="1"/>
  <c r="U238" i="1"/>
  <c r="U619" i="1"/>
  <c r="U374" i="1"/>
  <c r="U733" i="1"/>
  <c r="U247" i="1"/>
  <c r="V238" i="1"/>
  <c r="U743" i="1"/>
  <c r="V417" i="1"/>
  <c r="V413" i="1"/>
  <c r="V252" i="1"/>
  <c r="U413" i="1"/>
  <c r="U559" i="1"/>
  <c r="U674" i="1"/>
  <c r="U252" i="1"/>
  <c r="U569" i="1"/>
  <c r="U566" i="1"/>
  <c r="V374" i="1"/>
  <c r="V248" i="1"/>
  <c r="V247" i="1"/>
  <c r="U703" i="1"/>
  <c r="U512" i="1"/>
  <c r="V233" i="1"/>
  <c r="U233" i="1"/>
  <c r="U539" i="1"/>
  <c r="U500" i="1"/>
  <c r="U550" i="1"/>
  <c r="U509" i="1"/>
  <c r="V430" i="1"/>
  <c r="U624" i="1"/>
  <c r="U671" i="1"/>
  <c r="U430" i="1"/>
  <c r="U698" i="1"/>
  <c r="U381" i="1"/>
  <c r="V381" i="1"/>
  <c r="U545" i="1"/>
  <c r="N527" i="1"/>
  <c r="AP527" i="1" s="1"/>
  <c r="U493" i="1"/>
  <c r="U722" i="1"/>
  <c r="V410" i="1"/>
  <c r="U513" i="1"/>
  <c r="U627" i="1"/>
  <c r="U431" i="1"/>
  <c r="U564" i="1"/>
  <c r="U405" i="1"/>
  <c r="U246" i="1"/>
  <c r="U257" i="1"/>
  <c r="V246" i="1"/>
  <c r="U394" i="1"/>
  <c r="V394" i="1"/>
  <c r="U533" i="1"/>
  <c r="U402" i="1"/>
  <c r="V402" i="1"/>
  <c r="V377" i="1"/>
  <c r="V379" i="1"/>
  <c r="U570" i="1"/>
  <c r="U377" i="1"/>
  <c r="U379" i="1"/>
  <c r="V322" i="1"/>
  <c r="U658" i="1"/>
  <c r="U322" i="1"/>
  <c r="U723" i="1"/>
  <c r="U221" i="1"/>
  <c r="U741" i="1"/>
  <c r="V221" i="1"/>
  <c r="U611" i="1"/>
  <c r="U398" i="1"/>
  <c r="U543" i="1"/>
  <c r="V398" i="1"/>
  <c r="U332" i="1"/>
  <c r="U505" i="1"/>
  <c r="U530" i="1"/>
  <c r="V227" i="1"/>
  <c r="U396" i="1"/>
  <c r="V363" i="1"/>
  <c r="U400" i="1"/>
  <c r="V400" i="1"/>
  <c r="U454" i="1"/>
  <c r="V332" i="1"/>
  <c r="V369" i="1"/>
  <c r="U357" i="1"/>
  <c r="U369" i="1"/>
  <c r="V366" i="1"/>
  <c r="U358" i="1"/>
  <c r="U622" i="1"/>
  <c r="U366" i="1"/>
  <c r="V358" i="1"/>
  <c r="U531" i="1"/>
  <c r="V112" i="1"/>
  <c r="U112" i="1"/>
  <c r="V220" i="1"/>
  <c r="V457" i="1"/>
  <c r="V351" i="1"/>
  <c r="U220" i="1"/>
  <c r="U457" i="1"/>
  <c r="U604" i="1"/>
  <c r="V433" i="1"/>
  <c r="U433" i="1"/>
  <c r="U744" i="1"/>
  <c r="U548" i="1"/>
  <c r="V282" i="1"/>
  <c r="U621" i="1"/>
  <c r="V265" i="1"/>
  <c r="U282" i="1"/>
  <c r="U663" i="1"/>
  <c r="U265" i="1"/>
  <c r="U563" i="1"/>
  <c r="U608" i="1"/>
  <c r="U740" i="1"/>
  <c r="U409" i="1"/>
  <c r="U652" i="1"/>
  <c r="V272" i="1"/>
  <c r="U631" i="1"/>
  <c r="U272" i="1"/>
  <c r="U600" i="1"/>
  <c r="V360" i="1"/>
  <c r="U360" i="1"/>
  <c r="V396" i="1"/>
  <c r="U719" i="1"/>
  <c r="U241" i="1"/>
  <c r="V261" i="1"/>
  <c r="U261" i="1"/>
  <c r="U308" i="1"/>
  <c r="V308" i="1"/>
  <c r="U605" i="1"/>
  <c r="U554" i="1"/>
  <c r="V372" i="1"/>
  <c r="U372" i="1"/>
  <c r="U565" i="1"/>
  <c r="V426" i="1"/>
  <c r="V416" i="1"/>
  <c r="V425" i="1"/>
  <c r="U416" i="1"/>
  <c r="U425" i="1"/>
  <c r="V404" i="1"/>
  <c r="V370" i="1"/>
  <c r="U404" i="1"/>
  <c r="V357" i="1"/>
  <c r="U410" i="1"/>
  <c r="V241" i="1"/>
  <c r="V367" i="1"/>
  <c r="V315" i="1"/>
  <c r="U732" i="1"/>
  <c r="U315" i="1"/>
  <c r="V459" i="1"/>
  <c r="U459" i="1"/>
  <c r="U240" i="1"/>
  <c r="U609" i="1"/>
  <c r="V240" i="1"/>
  <c r="V281" i="1"/>
  <c r="U526" i="1"/>
  <c r="U281" i="1"/>
  <c r="U367" i="1"/>
  <c r="V362" i="1"/>
  <c r="U747" i="1"/>
  <c r="U362" i="1"/>
  <c r="U406" i="1"/>
  <c r="U607" i="1"/>
  <c r="V264" i="1"/>
  <c r="V406" i="1"/>
  <c r="U426" i="1"/>
  <c r="U666" i="1"/>
  <c r="U712" i="1"/>
  <c r="U742" i="1"/>
  <c r="U484" i="1"/>
  <c r="U370" i="1"/>
  <c r="V327" i="1"/>
  <c r="U327" i="1"/>
  <c r="U664" i="1"/>
  <c r="U568" i="1"/>
  <c r="U497" i="1"/>
  <c r="V262" i="1"/>
  <c r="U262" i="1"/>
  <c r="U718" i="1"/>
  <c r="U745" i="1"/>
  <c r="U579" i="1"/>
  <c r="V299" i="1"/>
  <c r="U483" i="1"/>
  <c r="U299" i="1"/>
  <c r="U695" i="1"/>
  <c r="V343" i="1"/>
  <c r="U343" i="1"/>
  <c r="U603" i="1"/>
  <c r="U602" i="1"/>
  <c r="U359" i="1"/>
  <c r="U535" i="1"/>
  <c r="V359" i="1"/>
  <c r="U614" i="1"/>
  <c r="V435" i="1"/>
  <c r="U435" i="1"/>
  <c r="U749" i="1"/>
  <c r="U264" i="1"/>
  <c r="V368" i="1"/>
  <c r="V257" i="1"/>
  <c r="U363" i="1"/>
  <c r="U368" i="1"/>
  <c r="U721" i="1"/>
  <c r="U223" i="1"/>
  <c r="U486" i="1"/>
  <c r="V223" i="1"/>
  <c r="V361" i="1"/>
  <c r="U424" i="1"/>
  <c r="V228" i="1"/>
  <c r="U361" i="1"/>
  <c r="V424" i="1"/>
  <c r="U228" i="1"/>
  <c r="U227" i="1"/>
  <c r="U351" i="1"/>
  <c r="N224" i="1"/>
  <c r="AP224" i="1" s="1"/>
  <c r="T211" i="1"/>
  <c r="N612" i="1"/>
  <c r="AP612" i="1" s="1"/>
  <c r="N316" i="1"/>
  <c r="AP316" i="1" s="1"/>
  <c r="T648" i="1"/>
  <c r="N336" i="1"/>
  <c r="AP336" i="1" s="1"/>
  <c r="N280" i="1"/>
  <c r="AP280" i="1" s="1"/>
  <c r="V454" i="1"/>
  <c r="V236" i="1"/>
  <c r="V401" i="1"/>
  <c r="N317" i="1"/>
  <c r="AP317" i="1" s="1"/>
  <c r="N69" i="1"/>
  <c r="U577" i="1"/>
  <c r="U236" i="1"/>
  <c r="U401" i="1"/>
  <c r="N344" i="1"/>
  <c r="AP344" i="1" s="1"/>
  <c r="N288" i="1"/>
  <c r="AP288" i="1" s="1"/>
  <c r="V239" i="1"/>
  <c r="V283" i="1"/>
  <c r="U629" i="1"/>
  <c r="V421" i="1"/>
  <c r="N337" i="1"/>
  <c r="AP337" i="1" s="1"/>
  <c r="T267" i="1"/>
  <c r="N746" i="1"/>
  <c r="AP746" i="1" s="1"/>
  <c r="T507" i="1"/>
  <c r="U529" i="1"/>
  <c r="U485" i="1"/>
  <c r="V263" i="1"/>
  <c r="U422" i="1"/>
  <c r="U239" i="1"/>
  <c r="U283" i="1"/>
  <c r="U670" i="1"/>
  <c r="U421" i="1"/>
  <c r="V302" i="1"/>
  <c r="U253" i="1"/>
  <c r="V253" i="1"/>
  <c r="V212" i="1"/>
  <c r="U212" i="1"/>
  <c r="N633" i="1"/>
  <c r="AP633" i="1" s="1"/>
  <c r="T684" i="1"/>
  <c r="T685" i="1"/>
  <c r="N333" i="1"/>
  <c r="AP333" i="1" s="1"/>
  <c r="U263" i="1"/>
  <c r="V422" i="1"/>
  <c r="U330" i="1"/>
  <c r="U302" i="1"/>
  <c r="N610" i="1"/>
  <c r="AP610" i="1" s="1"/>
  <c r="N279" i="1"/>
  <c r="AP279" i="1" s="1"/>
  <c r="N284" i="1"/>
  <c r="AP284" i="1" s="1"/>
  <c r="P438" i="1"/>
  <c r="AU438" i="1" s="1"/>
  <c r="T682" i="1"/>
  <c r="N328" i="1"/>
  <c r="AP328" i="1" s="1"/>
  <c r="U720" i="1"/>
  <c r="V243" i="1"/>
  <c r="U630" i="1"/>
  <c r="V330" i="1"/>
  <c r="V432" i="1"/>
  <c r="T694" i="1"/>
  <c r="AS594" i="1"/>
  <c r="S594" i="1" s="1"/>
  <c r="T649" i="1"/>
  <c r="N321" i="1"/>
  <c r="AP321" i="1" s="1"/>
  <c r="U243" i="1"/>
  <c r="U432" i="1"/>
  <c r="N151" i="1"/>
  <c r="N90" i="1"/>
  <c r="N202" i="1"/>
  <c r="N30" i="1"/>
  <c r="N155" i="1"/>
  <c r="N44" i="1"/>
  <c r="N157" i="1"/>
  <c r="N134" i="1"/>
  <c r="N101" i="1"/>
  <c r="N159" i="1"/>
  <c r="N31" i="1"/>
  <c r="N197" i="1"/>
  <c r="N119" i="1"/>
  <c r="N83" i="1"/>
  <c r="N192" i="1"/>
  <c r="N61" i="1"/>
  <c r="N40" i="1"/>
  <c r="N87" i="1"/>
  <c r="N153" i="1"/>
  <c r="N161" i="1"/>
  <c r="N99" i="1"/>
  <c r="N167" i="1"/>
  <c r="N32" i="1"/>
  <c r="N73" i="1"/>
  <c r="N102" i="1"/>
  <c r="N190" i="1"/>
  <c r="N156" i="1"/>
  <c r="N191" i="1"/>
  <c r="N50" i="1"/>
  <c r="N62" i="1"/>
  <c r="N196" i="1"/>
  <c r="N95" i="1"/>
  <c r="N28" i="1"/>
  <c r="N104" i="1"/>
  <c r="N103" i="1"/>
  <c r="U131" i="1"/>
  <c r="N139" i="1"/>
  <c r="N68" i="1"/>
  <c r="N125" i="1"/>
  <c r="N199" i="1"/>
  <c r="N59" i="1"/>
  <c r="N21" i="1"/>
  <c r="N170" i="1"/>
  <c r="N194" i="1"/>
  <c r="N53" i="1"/>
  <c r="N200" i="1"/>
  <c r="N195" i="1"/>
  <c r="N152" i="1"/>
  <c r="N128" i="1"/>
  <c r="N198" i="1"/>
  <c r="N172" i="1"/>
  <c r="N251" i="1"/>
  <c r="AP251" i="1" s="1"/>
  <c r="N25" i="1"/>
  <c r="N245" i="1"/>
  <c r="AP245" i="1" s="1"/>
  <c r="N124" i="1"/>
  <c r="N129" i="1"/>
  <c r="N84" i="1"/>
  <c r="N42" i="1"/>
  <c r="N20" i="1"/>
  <c r="V208" i="1"/>
  <c r="U208" i="1"/>
  <c r="U487" i="1"/>
  <c r="V314" i="1"/>
  <c r="U314" i="1"/>
  <c r="N210" i="1"/>
  <c r="AP210" i="1" s="1"/>
  <c r="AS643" i="1"/>
  <c r="V274" i="1"/>
  <c r="U274" i="1"/>
  <c r="U289" i="1"/>
  <c r="V289" i="1"/>
  <c r="U669" i="1"/>
  <c r="U662" i="1"/>
  <c r="U668" i="1"/>
  <c r="AS645" i="1"/>
  <c r="AT645" i="1" s="1"/>
  <c r="U673" i="1"/>
  <c r="U665" i="1"/>
  <c r="U618" i="1"/>
  <c r="AS635" i="1"/>
  <c r="N123" i="1"/>
  <c r="N620" i="1"/>
  <c r="AP620" i="1" s="1"/>
  <c r="T291" i="1"/>
  <c r="T595" i="1"/>
  <c r="T446" i="1"/>
  <c r="T183" i="1"/>
  <c r="S225" i="1"/>
  <c r="T701" i="1"/>
  <c r="N35" i="1"/>
  <c r="T572" i="1"/>
  <c r="N118" i="1"/>
  <c r="T705" i="1"/>
  <c r="T700" i="1"/>
  <c r="T496" i="1"/>
  <c r="T189" i="1"/>
  <c r="T537" i="1"/>
  <c r="T708" i="1"/>
  <c r="N85" i="1"/>
  <c r="N63" i="1"/>
  <c r="T235" i="1"/>
  <c r="T113" i="1"/>
  <c r="T188" i="1"/>
  <c r="AS651" i="1"/>
  <c r="S651" i="1" s="1"/>
  <c r="T724" i="1"/>
  <c r="T678" i="1"/>
  <c r="AY678" i="1" s="1"/>
  <c r="T623" i="1"/>
  <c r="S750" i="1"/>
  <c r="S494" i="1"/>
  <c r="S230" i="1"/>
  <c r="K481" i="1"/>
  <c r="L481" i="1"/>
  <c r="M481" i="1"/>
  <c r="O481" i="1"/>
  <c r="O206" i="1" s="1"/>
  <c r="O14" i="1" s="1"/>
  <c r="Q206" i="1"/>
  <c r="J481" i="1"/>
  <c r="Z592" i="1"/>
  <c r="U582" i="1" l="1"/>
  <c r="AP118" i="1"/>
  <c r="AP59" i="1"/>
  <c r="AP85" i="1"/>
  <c r="AP129" i="1"/>
  <c r="AP152" i="1"/>
  <c r="AP199" i="1"/>
  <c r="AP95" i="1"/>
  <c r="AP73" i="1"/>
  <c r="AP61" i="1"/>
  <c r="AP134" i="1"/>
  <c r="AP193" i="1"/>
  <c r="AP24" i="1"/>
  <c r="AP120" i="1"/>
  <c r="AP102" i="1"/>
  <c r="AP154" i="1"/>
  <c r="AP35" i="1"/>
  <c r="AP123" i="1"/>
  <c r="AP124" i="1"/>
  <c r="AP195" i="1"/>
  <c r="AP125" i="1"/>
  <c r="AP196" i="1"/>
  <c r="AP32" i="1"/>
  <c r="AP192" i="1"/>
  <c r="AP157" i="1"/>
  <c r="AP122" i="1"/>
  <c r="AP128" i="1"/>
  <c r="AP68" i="1"/>
  <c r="AP62" i="1"/>
  <c r="AP167" i="1"/>
  <c r="AP83" i="1"/>
  <c r="AP44" i="1"/>
  <c r="AP98" i="1"/>
  <c r="AP163" i="1"/>
  <c r="AP137" i="1"/>
  <c r="AP81" i="1"/>
  <c r="AP84" i="1"/>
  <c r="AP151" i="1"/>
  <c r="AP110" i="1"/>
  <c r="AP200" i="1"/>
  <c r="AP25" i="1"/>
  <c r="AP53" i="1"/>
  <c r="AP139" i="1"/>
  <c r="AP50" i="1"/>
  <c r="AP99" i="1"/>
  <c r="AP119" i="1"/>
  <c r="AP155" i="1"/>
  <c r="AP69" i="1"/>
  <c r="AP146" i="1"/>
  <c r="AP74" i="1"/>
  <c r="AP63" i="1"/>
  <c r="AP28" i="1"/>
  <c r="AP194" i="1"/>
  <c r="AP191" i="1"/>
  <c r="AP161" i="1"/>
  <c r="AP197" i="1"/>
  <c r="AP30" i="1"/>
  <c r="AP91" i="1"/>
  <c r="AP115" i="1"/>
  <c r="AP101" i="1"/>
  <c r="AP140" i="1"/>
  <c r="AP20" i="1"/>
  <c r="AP172" i="1"/>
  <c r="AP170" i="1"/>
  <c r="AP103" i="1"/>
  <c r="AP156" i="1"/>
  <c r="AP153" i="1"/>
  <c r="AP31" i="1"/>
  <c r="AP202" i="1"/>
  <c r="AP40" i="1"/>
  <c r="AP42" i="1"/>
  <c r="AP198" i="1"/>
  <c r="AP21" i="1"/>
  <c r="AP104" i="1"/>
  <c r="AP190" i="1"/>
  <c r="AP87" i="1"/>
  <c r="AP159" i="1"/>
  <c r="AP90" i="1"/>
  <c r="AP162" i="1"/>
  <c r="AP135" i="1"/>
  <c r="U606" i="1"/>
  <c r="AX706" i="1"/>
  <c r="T706" i="1"/>
  <c r="N706" i="1" s="1"/>
  <c r="AP706" i="1" s="1"/>
  <c r="N474" i="1"/>
  <c r="U474" i="1" s="1"/>
  <c r="AY231" i="1"/>
  <c r="AP473" i="1"/>
  <c r="V473" i="1"/>
  <c r="U473" i="1"/>
  <c r="AP234" i="1"/>
  <c r="V234" i="1"/>
  <c r="U234" i="1"/>
  <c r="U472" i="1"/>
  <c r="V472" i="1"/>
  <c r="AP472" i="1"/>
  <c r="N323" i="1"/>
  <c r="S387" i="1"/>
  <c r="V293" i="1"/>
  <c r="V277" i="1"/>
  <c r="V445" i="1"/>
  <c r="U445" i="1"/>
  <c r="V269" i="1"/>
  <c r="V434" i="1"/>
  <c r="U632" i="1"/>
  <c r="U329" i="1"/>
  <c r="U342" i="1"/>
  <c r="V329" i="1"/>
  <c r="V442" i="1"/>
  <c r="V392" i="1"/>
  <c r="U442" i="1"/>
  <c r="U392" i="1"/>
  <c r="U231" i="1"/>
  <c r="V231" i="1"/>
  <c r="U300" i="1"/>
  <c r="U469" i="1"/>
  <c r="V300" i="1"/>
  <c r="U215" i="1"/>
  <c r="V215" i="1"/>
  <c r="V342" i="1"/>
  <c r="V385" i="1"/>
  <c r="U434" i="1"/>
  <c r="U385" i="1"/>
  <c r="U443" i="1"/>
  <c r="U420" i="1"/>
  <c r="N130" i="1"/>
  <c r="U269" i="1"/>
  <c r="V443" i="1"/>
  <c r="U467" i="1"/>
  <c r="V420" i="1"/>
  <c r="V467" i="1"/>
  <c r="AX269" i="1"/>
  <c r="U660" i="1"/>
  <c r="U277" i="1"/>
  <c r="V218" i="1"/>
  <c r="V447" i="1"/>
  <c r="U584" i="1"/>
  <c r="V270" i="1"/>
  <c r="U447" i="1"/>
  <c r="U390" i="1"/>
  <c r="U270" i="1"/>
  <c r="U616" i="1"/>
  <c r="V390" i="1"/>
  <c r="U218" i="1"/>
  <c r="U301" i="1"/>
  <c r="N386" i="1"/>
  <c r="V469" i="1"/>
  <c r="U552" i="1"/>
  <c r="V301" i="1"/>
  <c r="U376" i="1"/>
  <c r="AP753" i="1"/>
  <c r="U753" i="1"/>
  <c r="AX594" i="1"/>
  <c r="AT594" i="1"/>
  <c r="N437" i="1"/>
  <c r="AP437" i="1" s="1"/>
  <c r="AY313" i="1"/>
  <c r="N313" i="1"/>
  <c r="U219" i="1"/>
  <c r="V393" i="1"/>
  <c r="V219" i="1"/>
  <c r="N456" i="1"/>
  <c r="AP456" i="1" s="1"/>
  <c r="AY456" i="1"/>
  <c r="N694" i="1"/>
  <c r="AP694" i="1" s="1"/>
  <c r="AY694" i="1"/>
  <c r="AP592" i="1"/>
  <c r="U592" i="1"/>
  <c r="N724" i="1"/>
  <c r="AP724" i="1" s="1"/>
  <c r="AY724" i="1"/>
  <c r="N492" i="1"/>
  <c r="AP492" i="1" s="1"/>
  <c r="AY492" i="1"/>
  <c r="AX750" i="1"/>
  <c r="AT750" i="1"/>
  <c r="N572" i="1"/>
  <c r="AP572" i="1" s="1"/>
  <c r="AY572" i="1"/>
  <c r="N446" i="1"/>
  <c r="AP446" i="1" s="1"/>
  <c r="AY446" i="1"/>
  <c r="V440" i="1"/>
  <c r="U375" i="1"/>
  <c r="N615" i="1"/>
  <c r="AP615" i="1" s="1"/>
  <c r="AY615" i="1"/>
  <c r="U266" i="1"/>
  <c r="T637" i="1"/>
  <c r="N637" i="1" s="1"/>
  <c r="AX635" i="1"/>
  <c r="AT635" i="1"/>
  <c r="N628" i="1"/>
  <c r="AP628" i="1" s="1"/>
  <c r="AY628" i="1"/>
  <c r="AP427" i="1"/>
  <c r="V427" i="1"/>
  <c r="N506" i="1"/>
  <c r="AY506" i="1"/>
  <c r="AX751" i="1"/>
  <c r="AT751" i="1"/>
  <c r="N700" i="1"/>
  <c r="AP700" i="1" s="1"/>
  <c r="AY700" i="1"/>
  <c r="N213" i="1"/>
  <c r="AP213" i="1" s="1"/>
  <c r="AY213" i="1"/>
  <c r="N518" i="1"/>
  <c r="AP518" i="1" s="1"/>
  <c r="AX518" i="1"/>
  <c r="AT518" i="1"/>
  <c r="N209" i="1"/>
  <c r="AY209" i="1"/>
  <c r="AP345" i="1"/>
  <c r="V345" i="1"/>
  <c r="U345" i="1"/>
  <c r="N583" i="1"/>
  <c r="AP583" i="1" s="1"/>
  <c r="AY583" i="1"/>
  <c r="AX230" i="1"/>
  <c r="AT230" i="1"/>
  <c r="AX225" i="1"/>
  <c r="AT225" i="1"/>
  <c r="N623" i="1"/>
  <c r="AP623" i="1" s="1"/>
  <c r="AY623" i="1"/>
  <c r="N496" i="1"/>
  <c r="AP496" i="1" s="1"/>
  <c r="AY496" i="1"/>
  <c r="AX378" i="1"/>
  <c r="AT378" i="1"/>
  <c r="N211" i="1"/>
  <c r="AP211" i="1" s="1"/>
  <c r="AY211" i="1"/>
  <c r="N597" i="1"/>
  <c r="AY597" i="1"/>
  <c r="N298" i="1"/>
  <c r="AP298" i="1" s="1"/>
  <c r="AY298" i="1"/>
  <c r="N711" i="1"/>
  <c r="AP711" i="1" s="1"/>
  <c r="AY711" i="1"/>
  <c r="AX626" i="1"/>
  <c r="N471" i="1"/>
  <c r="AP471" i="1" s="1"/>
  <c r="AY471" i="1"/>
  <c r="N353" i="1"/>
  <c r="AP353" i="1" s="1"/>
  <c r="AU353" i="1"/>
  <c r="N303" i="1"/>
  <c r="AP303" i="1" s="1"/>
  <c r="AY303" i="1"/>
  <c r="N335" i="1"/>
  <c r="AP335" i="1" s="1"/>
  <c r="AY335" i="1"/>
  <c r="N331" i="1"/>
  <c r="AY331" i="1"/>
  <c r="AX643" i="1"/>
  <c r="AT643" i="1"/>
  <c r="N657" i="1"/>
  <c r="AY657" i="1"/>
  <c r="N352" i="1"/>
  <c r="AP352" i="1" s="1"/>
  <c r="AY352" i="1"/>
  <c r="AX654" i="1"/>
  <c r="AT654" i="1"/>
  <c r="AX651" i="1"/>
  <c r="AT651" i="1"/>
  <c r="N705" i="1"/>
  <c r="AP705" i="1" s="1"/>
  <c r="AY705" i="1"/>
  <c r="N291" i="1"/>
  <c r="AP291" i="1" s="1"/>
  <c r="AY291" i="1"/>
  <c r="N310" i="1"/>
  <c r="AP310" i="1" s="1"/>
  <c r="AY310" i="1"/>
  <c r="AX581" i="1"/>
  <c r="AT581" i="1"/>
  <c r="N307" i="1"/>
  <c r="AP307" i="1" s="1"/>
  <c r="N451" i="1"/>
  <c r="AP451" i="1" s="1"/>
  <c r="AY451" i="1"/>
  <c r="AP667" i="1"/>
  <c r="U667" i="1"/>
  <c r="N682" i="1"/>
  <c r="AP682" i="1" s="1"/>
  <c r="AY682" i="1"/>
  <c r="N595" i="1"/>
  <c r="AP595" i="1" s="1"/>
  <c r="AY595" i="1"/>
  <c r="N708" i="1"/>
  <c r="AP708" i="1" s="1"/>
  <c r="AY708" i="1"/>
  <c r="N701" i="1"/>
  <c r="AP701" i="1" s="1"/>
  <c r="AY701" i="1"/>
  <c r="N685" i="1"/>
  <c r="AP685" i="1" s="1"/>
  <c r="AY685" i="1"/>
  <c r="N507" i="1"/>
  <c r="AP507" i="1" s="1"/>
  <c r="AY507" i="1"/>
  <c r="N713" i="1"/>
  <c r="AP713" i="1" s="1"/>
  <c r="AY713" i="1"/>
  <c r="AX391" i="1"/>
  <c r="AT391" i="1"/>
  <c r="N441" i="1"/>
  <c r="AP441" i="1" s="1"/>
  <c r="AY441" i="1"/>
  <c r="V216" i="1"/>
  <c r="U464" i="1"/>
  <c r="N567" i="1"/>
  <c r="AY567" i="1"/>
  <c r="AP428" i="1"/>
  <c r="V428" i="1"/>
  <c r="U428" i="1"/>
  <c r="N138" i="1"/>
  <c r="AY138" i="1"/>
  <c r="N355" i="1"/>
  <c r="AP355" i="1" s="1"/>
  <c r="AY355" i="1"/>
  <c r="AP214" i="1"/>
  <c r="V214" i="1"/>
  <c r="U214" i="1"/>
  <c r="N461" i="1"/>
  <c r="AY461" i="1"/>
  <c r="T397" i="1"/>
  <c r="N397" i="1" s="1"/>
  <c r="AX397" i="1"/>
  <c r="AT397" i="1"/>
  <c r="U393" i="1"/>
  <c r="N537" i="1"/>
  <c r="AP537" i="1" s="1"/>
  <c r="AY537" i="1"/>
  <c r="N684" i="1"/>
  <c r="AP684" i="1" s="1"/>
  <c r="AY684" i="1"/>
  <c r="N648" i="1"/>
  <c r="AP648" i="1" s="1"/>
  <c r="AY648" i="1"/>
  <c r="N714" i="1"/>
  <c r="AP714" i="1" s="1"/>
  <c r="AY714" i="1"/>
  <c r="N460" i="1"/>
  <c r="AP460" i="1" s="1"/>
  <c r="AY460" i="1"/>
  <c r="N341" i="1"/>
  <c r="AP341" i="1" s="1"/>
  <c r="AY341" i="1"/>
  <c r="AP411" i="1"/>
  <c r="U411" i="1"/>
  <c r="V411" i="1"/>
  <c r="N436" i="1"/>
  <c r="AY436" i="1"/>
  <c r="N147" i="1"/>
  <c r="AT147" i="1"/>
  <c r="N549" i="1"/>
  <c r="AP549" i="1" s="1"/>
  <c r="AY549" i="1"/>
  <c r="AP599" i="1"/>
  <c r="U599" i="1"/>
  <c r="T466" i="1"/>
  <c r="AU456" i="1"/>
  <c r="U216" i="1"/>
  <c r="V376" i="1"/>
  <c r="AP585" i="1"/>
  <c r="U585" i="1"/>
  <c r="AX494" i="1"/>
  <c r="AT494" i="1"/>
  <c r="U440" i="1"/>
  <c r="V375" i="1"/>
  <c r="N649" i="1"/>
  <c r="AP649" i="1" s="1"/>
  <c r="AY649" i="1"/>
  <c r="N267" i="1"/>
  <c r="AP267" i="1" s="1"/>
  <c r="AY267" i="1"/>
  <c r="U696" i="1"/>
  <c r="N710" i="1"/>
  <c r="AP710" i="1" s="1"/>
  <c r="AY710" i="1"/>
  <c r="V266" i="1"/>
  <c r="N737" i="1"/>
  <c r="AP737" i="1" s="1"/>
  <c r="AY737" i="1"/>
  <c r="N346" i="1"/>
  <c r="AP346" i="1" s="1"/>
  <c r="AY346" i="1"/>
  <c r="V464" i="1"/>
  <c r="AP414" i="1"/>
  <c r="U414" i="1"/>
  <c r="V414" i="1"/>
  <c r="AP408" i="1"/>
  <c r="V408" i="1"/>
  <c r="U408" i="1"/>
  <c r="AP285" i="1"/>
  <c r="U285" i="1"/>
  <c r="V285" i="1"/>
  <c r="AP587" i="1"/>
  <c r="U587" i="1"/>
  <c r="N340" i="1"/>
  <c r="AP340" i="1" s="1"/>
  <c r="AY340" i="1"/>
  <c r="T391" i="1"/>
  <c r="AP613" i="1"/>
  <c r="U293" i="1"/>
  <c r="N635" i="1"/>
  <c r="AP635" i="1" s="1"/>
  <c r="N45" i="1"/>
  <c r="T319" i="1"/>
  <c r="AS626" i="1"/>
  <c r="AT626" i="1" s="1"/>
  <c r="N133" i="1"/>
  <c r="U450" i="1"/>
  <c r="V450" i="1"/>
  <c r="N60" i="1"/>
  <c r="T82" i="1"/>
  <c r="N82" i="1" s="1"/>
  <c r="AS702" i="1"/>
  <c r="S702" i="1" s="1"/>
  <c r="T596" i="1"/>
  <c r="U735" i="1"/>
  <c r="V140" i="1"/>
  <c r="U140" i="1"/>
  <c r="AD122" i="1"/>
  <c r="AA122" i="1"/>
  <c r="AS272" i="1"/>
  <c r="AT272" i="1" s="1"/>
  <c r="T438" i="1"/>
  <c r="T448" i="1"/>
  <c r="N164" i="1"/>
  <c r="V154" i="1"/>
  <c r="U154" i="1"/>
  <c r="U636" i="1"/>
  <c r="U163" i="1"/>
  <c r="V163" i="1"/>
  <c r="U527" i="1"/>
  <c r="V316" i="1"/>
  <c r="U581" i="1"/>
  <c r="U316" i="1"/>
  <c r="V337" i="1"/>
  <c r="U626" i="1"/>
  <c r="U633" i="1"/>
  <c r="V333" i="1"/>
  <c r="U612" i="1"/>
  <c r="V328" i="1"/>
  <c r="U328" i="1"/>
  <c r="U333" i="1"/>
  <c r="U317" i="1"/>
  <c r="V317" i="1"/>
  <c r="U284" i="1"/>
  <c r="V284" i="1"/>
  <c r="V336" i="1"/>
  <c r="U336" i="1"/>
  <c r="V288" i="1"/>
  <c r="U288" i="1"/>
  <c r="U746" i="1"/>
  <c r="U610" i="1"/>
  <c r="U280" i="1"/>
  <c r="V280" i="1"/>
  <c r="V224" i="1"/>
  <c r="U224" i="1"/>
  <c r="U321" i="1"/>
  <c r="V321" i="1"/>
  <c r="V279" i="1"/>
  <c r="U279" i="1"/>
  <c r="U344" i="1"/>
  <c r="U337" i="1"/>
  <c r="V344" i="1"/>
  <c r="N378" i="1"/>
  <c r="AP378" i="1" s="1"/>
  <c r="N230" i="1"/>
  <c r="AP230" i="1" s="1"/>
  <c r="N494" i="1"/>
  <c r="AP494" i="1" s="1"/>
  <c r="V69" i="1"/>
  <c r="U643" i="1"/>
  <c r="N750" i="1"/>
  <c r="U69" i="1"/>
  <c r="N235" i="1"/>
  <c r="AP235" i="1" s="1"/>
  <c r="N188" i="1"/>
  <c r="N113" i="1"/>
  <c r="N183" i="1"/>
  <c r="V210" i="1"/>
  <c r="U210" i="1"/>
  <c r="N225" i="1"/>
  <c r="AP225" i="1" s="1"/>
  <c r="U620" i="1"/>
  <c r="T594" i="1"/>
  <c r="AY594" i="1" s="1"/>
  <c r="T651" i="1"/>
  <c r="N189" i="1"/>
  <c r="N678" i="1"/>
  <c r="AP678" i="1" s="1"/>
  <c r="O13" i="1"/>
  <c r="Q13" i="1"/>
  <c r="X592" i="1"/>
  <c r="AP474" i="1" l="1"/>
  <c r="AY706" i="1"/>
  <c r="AP82" i="1"/>
  <c r="AP60" i="1"/>
  <c r="AP45" i="1"/>
  <c r="AP130" i="1"/>
  <c r="AP183" i="1"/>
  <c r="AP133" i="1"/>
  <c r="V474" i="1"/>
  <c r="AP189" i="1"/>
  <c r="AP113" i="1"/>
  <c r="AP164" i="1"/>
  <c r="AP147" i="1"/>
  <c r="AP188" i="1"/>
  <c r="V352" i="1"/>
  <c r="AP323" i="1"/>
  <c r="V323" i="1"/>
  <c r="U323" i="1"/>
  <c r="T387" i="1"/>
  <c r="AY387" i="1" s="1"/>
  <c r="AX387" i="1"/>
  <c r="AT387" i="1"/>
  <c r="U341" i="1"/>
  <c r="V456" i="1"/>
  <c r="U492" i="1"/>
  <c r="U711" i="1"/>
  <c r="U346" i="1"/>
  <c r="U456" i="1"/>
  <c r="U701" i="1"/>
  <c r="U700" i="1"/>
  <c r="U628" i="1"/>
  <c r="AY397" i="1"/>
  <c r="U648" i="1"/>
  <c r="U694" i="1"/>
  <c r="V307" i="1"/>
  <c r="U213" i="1"/>
  <c r="V437" i="1"/>
  <c r="U737" i="1"/>
  <c r="U615" i="1"/>
  <c r="U685" i="1"/>
  <c r="U706" i="1"/>
  <c r="U713" i="1"/>
  <c r="U211" i="1"/>
  <c r="V213" i="1"/>
  <c r="U623" i="1"/>
  <c r="U437" i="1"/>
  <c r="V211" i="1"/>
  <c r="U682" i="1"/>
  <c r="U307" i="1"/>
  <c r="V303" i="1"/>
  <c r="U303" i="1"/>
  <c r="U714" i="1"/>
  <c r="U684" i="1"/>
  <c r="U310" i="1"/>
  <c r="V341" i="1"/>
  <c r="V446" i="1"/>
  <c r="U267" i="1"/>
  <c r="V298" i="1"/>
  <c r="V310" i="1"/>
  <c r="V267" i="1"/>
  <c r="U298" i="1"/>
  <c r="V340" i="1"/>
  <c r="U708" i="1"/>
  <c r="U549" i="1"/>
  <c r="U340" i="1"/>
  <c r="V441" i="1"/>
  <c r="U446" i="1"/>
  <c r="U705" i="1"/>
  <c r="U724" i="1"/>
  <c r="V346" i="1"/>
  <c r="U441" i="1"/>
  <c r="U352" i="1"/>
  <c r="U710" i="1"/>
  <c r="U649" i="1"/>
  <c r="V353" i="1"/>
  <c r="U353" i="1"/>
  <c r="AP386" i="1"/>
  <c r="V386" i="1"/>
  <c r="U386" i="1"/>
  <c r="U335" i="1"/>
  <c r="U451" i="1"/>
  <c r="U595" i="1"/>
  <c r="V451" i="1"/>
  <c r="AP313" i="1"/>
  <c r="U313" i="1"/>
  <c r="V313" i="1"/>
  <c r="AP637" i="1"/>
  <c r="U637" i="1"/>
  <c r="N466" i="1"/>
  <c r="AY466" i="1"/>
  <c r="AP506" i="1"/>
  <c r="U506" i="1"/>
  <c r="U583" i="1"/>
  <c r="N391" i="1"/>
  <c r="AY391" i="1"/>
  <c r="AY637" i="1"/>
  <c r="AP461" i="1"/>
  <c r="V461" i="1"/>
  <c r="U461" i="1"/>
  <c r="AP209" i="1"/>
  <c r="U209" i="1"/>
  <c r="V209" i="1"/>
  <c r="U572" i="1"/>
  <c r="U518" i="1"/>
  <c r="N654" i="1"/>
  <c r="AY654" i="1"/>
  <c r="AP331" i="1"/>
  <c r="V331" i="1"/>
  <c r="U331" i="1"/>
  <c r="U537" i="1"/>
  <c r="U460" i="1"/>
  <c r="V471" i="1"/>
  <c r="U567" i="1"/>
  <c r="AP567" i="1"/>
  <c r="AP597" i="1"/>
  <c r="U597" i="1"/>
  <c r="V460" i="1"/>
  <c r="U471" i="1"/>
  <c r="N596" i="1"/>
  <c r="AP596" i="1" s="1"/>
  <c r="AY596" i="1"/>
  <c r="N319" i="1"/>
  <c r="AP319" i="1" s="1"/>
  <c r="AY319" i="1"/>
  <c r="AP657" i="1"/>
  <c r="U657" i="1"/>
  <c r="N651" i="1"/>
  <c r="AP651" i="1" s="1"/>
  <c r="AY651" i="1"/>
  <c r="U496" i="1"/>
  <c r="V291" i="1"/>
  <c r="U507" i="1"/>
  <c r="N448" i="1"/>
  <c r="AP448" i="1" s="1"/>
  <c r="AY448" i="1"/>
  <c r="AX702" i="1"/>
  <c r="AT702" i="1"/>
  <c r="AP436" i="1"/>
  <c r="V436" i="1"/>
  <c r="U436" i="1"/>
  <c r="U291" i="1"/>
  <c r="N438" i="1"/>
  <c r="AP438" i="1" s="1"/>
  <c r="AY438" i="1"/>
  <c r="V335" i="1"/>
  <c r="AP138" i="1"/>
  <c r="U138" i="1"/>
  <c r="V138" i="1"/>
  <c r="AP397" i="1"/>
  <c r="V397" i="1"/>
  <c r="U397" i="1"/>
  <c r="U750" i="1"/>
  <c r="AP750" i="1"/>
  <c r="U635" i="1"/>
  <c r="U60" i="1"/>
  <c r="V60" i="1"/>
  <c r="T702" i="1"/>
  <c r="U494" i="1"/>
  <c r="U378" i="1"/>
  <c r="V378" i="1"/>
  <c r="U230" i="1"/>
  <c r="V230" i="1"/>
  <c r="V225" i="1"/>
  <c r="U225" i="1"/>
  <c r="U678" i="1"/>
  <c r="N594" i="1"/>
  <c r="AP594" i="1" s="1"/>
  <c r="S481" i="10"/>
  <c r="S206" i="10" s="1"/>
  <c r="T481" i="10"/>
  <c r="T206" i="10" s="1"/>
  <c r="N387" i="1" l="1"/>
  <c r="AP387" i="1" s="1"/>
  <c r="V448" i="1"/>
  <c r="V319" i="1"/>
  <c r="U319" i="1"/>
  <c r="U651" i="1"/>
  <c r="U596" i="1"/>
  <c r="V438" i="1"/>
  <c r="AP391" i="1"/>
  <c r="V391" i="1"/>
  <c r="U438" i="1"/>
  <c r="U448" i="1"/>
  <c r="AP654" i="1"/>
  <c r="U654" i="1"/>
  <c r="AP466" i="1"/>
  <c r="U466" i="1"/>
  <c r="V466" i="1"/>
  <c r="N702" i="1"/>
  <c r="AP702" i="1" s="1"/>
  <c r="AY702" i="1"/>
  <c r="U391" i="1"/>
  <c r="U594" i="1"/>
  <c r="M510" i="10"/>
  <c r="M503" i="10"/>
  <c r="M598" i="10"/>
  <c r="U387" i="1" l="1"/>
  <c r="V387" i="1"/>
  <c r="U702" i="1"/>
  <c r="E598" i="10"/>
  <c r="U598" i="10"/>
  <c r="E510" i="10"/>
  <c r="U510" i="10"/>
  <c r="E503" i="10"/>
  <c r="S508" i="1" s="1"/>
  <c r="U503" i="10"/>
  <c r="Y589" i="1"/>
  <c r="AD589" i="1"/>
  <c r="Z595" i="1"/>
  <c r="Z528" i="1"/>
  <c r="M517" i="10"/>
  <c r="M516" i="10"/>
  <c r="Z517" i="1"/>
  <c r="Z516" i="1"/>
  <c r="Z560" i="1"/>
  <c r="Z558" i="1"/>
  <c r="Y752" i="1"/>
  <c r="AA752" i="1"/>
  <c r="Y749" i="1"/>
  <c r="AD749" i="1"/>
  <c r="Z734" i="1"/>
  <c r="X734" i="1"/>
  <c r="Z737" i="1"/>
  <c r="X737" i="1"/>
  <c r="Z736" i="1"/>
  <c r="X736" i="1"/>
  <c r="Z738" i="1"/>
  <c r="X738" i="1"/>
  <c r="Z735" i="1"/>
  <c r="X735" i="1"/>
  <c r="Y733" i="1"/>
  <c r="AD733" i="1"/>
  <c r="Y732" i="1"/>
  <c r="AA732" i="1"/>
  <c r="Y731" i="1"/>
  <c r="AD731" i="1"/>
  <c r="Y730" i="1"/>
  <c r="AD730" i="1"/>
  <c r="Y729" i="1"/>
  <c r="AD729" i="1"/>
  <c r="Y728" i="1"/>
  <c r="AA728" i="1"/>
  <c r="Y727" i="1"/>
  <c r="AD727" i="1"/>
  <c r="Y726" i="1"/>
  <c r="AA726" i="1"/>
  <c r="Y722" i="1"/>
  <c r="AA722" i="1"/>
  <c r="Y696" i="1"/>
  <c r="AD696" i="1"/>
  <c r="Y644" i="1"/>
  <c r="AD644" i="1"/>
  <c r="Y641" i="1"/>
  <c r="AD641" i="1"/>
  <c r="Y640" i="1"/>
  <c r="AA640" i="1"/>
  <c r="Y639" i="1"/>
  <c r="AA639" i="1"/>
  <c r="Y637" i="1"/>
  <c r="AA637" i="1"/>
  <c r="Y636" i="1"/>
  <c r="AD636" i="1"/>
  <c r="Y634" i="1"/>
  <c r="AD634" i="1"/>
  <c r="Y633" i="1"/>
  <c r="AD633" i="1"/>
  <c r="Z620" i="1"/>
  <c r="R601" i="1" l="1"/>
  <c r="AW601" i="1" s="1"/>
  <c r="N508" i="1"/>
  <c r="AX508" i="1"/>
  <c r="AT508" i="1"/>
  <c r="S598" i="1"/>
  <c r="S503" i="1"/>
  <c r="S510" i="1"/>
  <c r="E516" i="10"/>
  <c r="U516" i="10"/>
  <c r="E517" i="10"/>
  <c r="U517" i="10"/>
  <c r="X595" i="1"/>
  <c r="AA633" i="1"/>
  <c r="AA636" i="1"/>
  <c r="AA641" i="1"/>
  <c r="AA696" i="1"/>
  <c r="AA727" i="1"/>
  <c r="AA730" i="1"/>
  <c r="AA733" i="1"/>
  <c r="AA749" i="1"/>
  <c r="AA589" i="1"/>
  <c r="X528" i="1"/>
  <c r="X560" i="1"/>
  <c r="X558" i="1"/>
  <c r="AD752" i="1"/>
  <c r="AD732" i="1"/>
  <c r="AA729" i="1"/>
  <c r="AA731" i="1"/>
  <c r="AD728" i="1"/>
  <c r="AD726" i="1"/>
  <c r="AD722" i="1"/>
  <c r="AA644" i="1"/>
  <c r="AD640" i="1"/>
  <c r="AD639" i="1"/>
  <c r="AD637" i="1"/>
  <c r="AA634" i="1"/>
  <c r="X620" i="1"/>
  <c r="S601" i="1" l="1"/>
  <c r="T517" i="1"/>
  <c r="AY517" i="1" s="1"/>
  <c r="S522" i="1"/>
  <c r="AP508" i="1"/>
  <c r="U508" i="1"/>
  <c r="N601" i="1"/>
  <c r="AX601" i="1"/>
  <c r="AT601" i="1"/>
  <c r="P516" i="1"/>
  <c r="AU516" i="1" s="1"/>
  <c r="S521" i="1"/>
  <c r="AX510" i="1"/>
  <c r="AT510" i="1"/>
  <c r="AX503" i="1"/>
  <c r="AT503" i="1"/>
  <c r="AX598" i="1"/>
  <c r="AT598" i="1"/>
  <c r="N503" i="1"/>
  <c r="AP503" i="1" s="1"/>
  <c r="P514" i="1"/>
  <c r="AU514" i="1" s="1"/>
  <c r="N510" i="1"/>
  <c r="AP510" i="1" s="1"/>
  <c r="N598" i="1"/>
  <c r="AP598" i="1" s="1"/>
  <c r="U481" i="10"/>
  <c r="U206" i="10" s="1"/>
  <c r="N517" i="1"/>
  <c r="AP517" i="1" s="1"/>
  <c r="Y619" i="1"/>
  <c r="AD619" i="1"/>
  <c r="Y618" i="1"/>
  <c r="AA618" i="1"/>
  <c r="Y612" i="1"/>
  <c r="AD612" i="1"/>
  <c r="Y611" i="1"/>
  <c r="AA611" i="1"/>
  <c r="Y610" i="1"/>
  <c r="AD610" i="1"/>
  <c r="AP601" i="1" l="1"/>
  <c r="U601" i="1"/>
  <c r="N516" i="1"/>
  <c r="AP516" i="1" s="1"/>
  <c r="AT522" i="1"/>
  <c r="N522" i="1"/>
  <c r="AX522" i="1"/>
  <c r="AT521" i="1"/>
  <c r="N521" i="1"/>
  <c r="AX521" i="1"/>
  <c r="U503" i="1"/>
  <c r="T514" i="1"/>
  <c r="U510" i="1"/>
  <c r="U598" i="1"/>
  <c r="U517" i="1"/>
  <c r="X516" i="1"/>
  <c r="AA610" i="1"/>
  <c r="AA612" i="1"/>
  <c r="AD618" i="1"/>
  <c r="AA619" i="1"/>
  <c r="AD611" i="1"/>
  <c r="U516" i="1" l="1"/>
  <c r="AP521" i="1"/>
  <c r="U521" i="1"/>
  <c r="AP522" i="1"/>
  <c r="U522" i="1"/>
  <c r="N514" i="1"/>
  <c r="AP514" i="1" s="1"/>
  <c r="AY514" i="1"/>
  <c r="X517" i="1"/>
  <c r="Y587" i="1"/>
  <c r="AD587" i="1"/>
  <c r="Y586" i="1"/>
  <c r="AD586" i="1"/>
  <c r="Y580" i="1"/>
  <c r="Y569" i="1"/>
  <c r="AD569" i="1"/>
  <c r="Y570" i="1"/>
  <c r="AA570" i="1"/>
  <c r="Y568" i="1"/>
  <c r="AD568" i="1"/>
  <c r="Y561" i="1"/>
  <c r="U514" i="1" l="1"/>
  <c r="AA587" i="1"/>
  <c r="AD570" i="1"/>
  <c r="AA586" i="1"/>
  <c r="AA569" i="1"/>
  <c r="AA568" i="1"/>
  <c r="Y488" i="1" l="1"/>
  <c r="Y487" i="1"/>
  <c r="AA487" i="1"/>
  <c r="Y482" i="1"/>
  <c r="AD482" i="1"/>
  <c r="B482" i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482" i="10"/>
  <c r="B483" i="10" s="1"/>
  <c r="B484" i="10" s="1"/>
  <c r="B485" i="10" s="1"/>
  <c r="B486" i="10" s="1"/>
  <c r="U482" i="1" l="1"/>
  <c r="AD487" i="1"/>
  <c r="AA482" i="1"/>
  <c r="E557" i="10" l="1"/>
  <c r="S562" i="1" s="1"/>
  <c r="E556" i="10"/>
  <c r="P561" i="1" s="1"/>
  <c r="E542" i="10"/>
  <c r="E541" i="10"/>
  <c r="S546" i="1" l="1"/>
  <c r="P546" i="1" s="1"/>
  <c r="T546" i="1" s="1"/>
  <c r="AY546" i="1" s="1"/>
  <c r="T542" i="1"/>
  <c r="N542" i="1" s="1"/>
  <c r="AP542" i="1" s="1"/>
  <c r="T547" i="1"/>
  <c r="N561" i="1"/>
  <c r="AU561" i="1"/>
  <c r="AX562" i="1"/>
  <c r="AT562" i="1"/>
  <c r="N562" i="1"/>
  <c r="P557" i="1"/>
  <c r="S556" i="1"/>
  <c r="Y344" i="1"/>
  <c r="AD344" i="1"/>
  <c r="Y343" i="1"/>
  <c r="AA343" i="1"/>
  <c r="Y341" i="1"/>
  <c r="AD341" i="1"/>
  <c r="Y340" i="1"/>
  <c r="AA340" i="1"/>
  <c r="Y339" i="1"/>
  <c r="AD339" i="1"/>
  <c r="Y345" i="1"/>
  <c r="AD345" i="1"/>
  <c r="AY542" i="1" l="1"/>
  <c r="AP561" i="1"/>
  <c r="U561" i="1"/>
  <c r="AD561" i="1"/>
  <c r="AA561" i="1"/>
  <c r="N547" i="1"/>
  <c r="AY547" i="1"/>
  <c r="AU546" i="1"/>
  <c r="N546" i="1"/>
  <c r="AP562" i="1"/>
  <c r="U562" i="1"/>
  <c r="AX546" i="1"/>
  <c r="AT546" i="1"/>
  <c r="U542" i="1"/>
  <c r="N557" i="1"/>
  <c r="AP557" i="1" s="1"/>
  <c r="AU557" i="1"/>
  <c r="AX556" i="1"/>
  <c r="AT556" i="1"/>
  <c r="N556" i="1"/>
  <c r="AP556" i="1" s="1"/>
  <c r="AA345" i="1"/>
  <c r="AA339" i="1"/>
  <c r="AA341" i="1"/>
  <c r="AA344" i="1"/>
  <c r="AD340" i="1"/>
  <c r="AD343" i="1"/>
  <c r="AP547" i="1" l="1"/>
  <c r="U547" i="1"/>
  <c r="AP546" i="1"/>
  <c r="U546" i="1"/>
  <c r="U557" i="1"/>
  <c r="U556" i="1"/>
  <c r="E399" i="10"/>
  <c r="T407" i="1" s="1"/>
  <c r="E395" i="10"/>
  <c r="S403" i="1" s="1"/>
  <c r="AY407" i="1" l="1"/>
  <c r="N407" i="1"/>
  <c r="N403" i="1"/>
  <c r="AX403" i="1"/>
  <c r="AS704" i="1"/>
  <c r="AT704" i="1" s="1"/>
  <c r="AT403" i="1"/>
  <c r="T395" i="1"/>
  <c r="AY395" i="1" s="1"/>
  <c r="S399" i="1"/>
  <c r="Y219" i="1"/>
  <c r="AD219" i="1"/>
  <c r="Y218" i="1"/>
  <c r="AA218" i="1"/>
  <c r="Y217" i="1"/>
  <c r="AD217" i="1"/>
  <c r="Y216" i="1"/>
  <c r="AD216" i="1"/>
  <c r="Y215" i="1"/>
  <c r="AA215" i="1"/>
  <c r="Y214" i="1"/>
  <c r="AD214" i="1"/>
  <c r="Y334" i="1"/>
  <c r="AD334" i="1"/>
  <c r="Y252" i="1"/>
  <c r="AD252" i="1"/>
  <c r="Y283" i="1"/>
  <c r="AD283" i="1"/>
  <c r="Y282" i="1"/>
  <c r="AD282" i="1"/>
  <c r="Y298" i="1"/>
  <c r="AD298" i="1"/>
  <c r="Y312" i="1"/>
  <c r="AD312" i="1"/>
  <c r="Y326" i="1"/>
  <c r="AD326" i="1"/>
  <c r="AP403" i="1" l="1"/>
  <c r="U403" i="1"/>
  <c r="V403" i="1"/>
  <c r="V407" i="1"/>
  <c r="AP407" i="1"/>
  <c r="U407" i="1"/>
  <c r="AX399" i="1"/>
  <c r="AT399" i="1"/>
  <c r="AS709" i="1"/>
  <c r="S709" i="1" s="1"/>
  <c r="N399" i="1"/>
  <c r="AP399" i="1" s="1"/>
  <c r="N395" i="1"/>
  <c r="AP395" i="1" s="1"/>
  <c r="AA216" i="1"/>
  <c r="AA217" i="1"/>
  <c r="AA312" i="1"/>
  <c r="AA298" i="1"/>
  <c r="AA282" i="1"/>
  <c r="AA252" i="1"/>
  <c r="AA334" i="1"/>
  <c r="AA214" i="1"/>
  <c r="AA219" i="1"/>
  <c r="AD218" i="1"/>
  <c r="AD215" i="1"/>
  <c r="AA283" i="1"/>
  <c r="AA326" i="1"/>
  <c r="AX709" i="1" l="1"/>
  <c r="AT709" i="1"/>
  <c r="T709" i="1"/>
  <c r="V399" i="1"/>
  <c r="U399" i="1"/>
  <c r="U395" i="1"/>
  <c r="V395" i="1"/>
  <c r="Y211" i="1"/>
  <c r="AD211" i="1"/>
  <c r="Y210" i="1"/>
  <c r="AD210" i="1"/>
  <c r="Y209" i="1"/>
  <c r="AD209" i="1"/>
  <c r="Y208" i="1"/>
  <c r="AD208" i="1"/>
  <c r="Y187" i="1"/>
  <c r="Y186" i="1"/>
  <c r="Y185" i="1"/>
  <c r="Y184" i="1"/>
  <c r="Y182" i="1"/>
  <c r="Y181" i="1"/>
  <c r="Y157" i="1"/>
  <c r="Y156" i="1"/>
  <c r="Y155" i="1"/>
  <c r="Y87" i="1"/>
  <c r="Y68" i="1"/>
  <c r="Y67" i="1"/>
  <c r="N709" i="1" l="1"/>
  <c r="AP709" i="1" s="1"/>
  <c r="AY709" i="1"/>
  <c r="AA208" i="1"/>
  <c r="AA210" i="1"/>
  <c r="AA209" i="1"/>
  <c r="AA211" i="1"/>
  <c r="U87" i="1"/>
  <c r="U155" i="1"/>
  <c r="U156" i="1"/>
  <c r="U157" i="1"/>
  <c r="U68" i="1"/>
  <c r="U709" i="1" l="1"/>
  <c r="AD182" i="1"/>
  <c r="AA182" i="1"/>
  <c r="AD184" i="1"/>
  <c r="AA184" i="1"/>
  <c r="AD186" i="1"/>
  <c r="AA186" i="1"/>
  <c r="AD87" i="1"/>
  <c r="AA87" i="1"/>
  <c r="AD181" i="1"/>
  <c r="AA181" i="1"/>
  <c r="AD185" i="1"/>
  <c r="AA185" i="1"/>
  <c r="AD187" i="1"/>
  <c r="AA187" i="1"/>
  <c r="AD68" i="1"/>
  <c r="AA68" i="1"/>
  <c r="AD156" i="1" l="1"/>
  <c r="AA156" i="1"/>
  <c r="AA155" i="1"/>
  <c r="AD155" i="1"/>
  <c r="AA157" i="1"/>
  <c r="AD157" i="1"/>
  <c r="Z41" i="1" l="1"/>
  <c r="Z54" i="1"/>
  <c r="Z43" i="1"/>
  <c r="Z33" i="1"/>
  <c r="X33" i="1" l="1"/>
  <c r="X41" i="1"/>
  <c r="U54" i="1"/>
  <c r="V54" i="1"/>
  <c r="X54" i="1"/>
  <c r="U43" i="1"/>
  <c r="V43" i="1"/>
  <c r="X43" i="1"/>
  <c r="V33" i="1"/>
  <c r="U33" i="1"/>
  <c r="Z29" i="1" l="1"/>
  <c r="U29" i="1" l="1"/>
  <c r="V29" i="1"/>
  <c r="X2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19" i="10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S13" i="10"/>
  <c r="Z445" i="1"/>
  <c r="Z446" i="1"/>
  <c r="Z447" i="1"/>
  <c r="X447" i="1"/>
  <c r="Z440" i="1"/>
  <c r="Z438" i="1"/>
  <c r="Z436" i="1"/>
  <c r="Z431" i="1"/>
  <c r="Z430" i="1"/>
  <c r="Z428" i="1"/>
  <c r="Z426" i="1"/>
  <c r="Z425" i="1"/>
  <c r="Z424" i="1"/>
  <c r="B75" i="10" l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X445" i="1"/>
  <c r="X446" i="1"/>
  <c r="X424" i="1"/>
  <c r="X438" i="1"/>
  <c r="X440" i="1"/>
  <c r="X425" i="1"/>
  <c r="X428" i="1"/>
  <c r="X436" i="1"/>
  <c r="Z427" i="1"/>
  <c r="Z332" i="1"/>
  <c r="Z308" i="1"/>
  <c r="X308" i="1"/>
  <c r="Z272" i="1"/>
  <c r="X272" i="1"/>
  <c r="Z325" i="1"/>
  <c r="Z313" i="1"/>
  <c r="X313" i="1"/>
  <c r="Z269" i="1"/>
  <c r="Z267" i="1"/>
  <c r="X269" i="1"/>
  <c r="X267" i="1"/>
  <c r="Z327" i="1"/>
  <c r="Z291" i="1"/>
  <c r="Z289" i="1"/>
  <c r="X291" i="1"/>
  <c r="Z257" i="1"/>
  <c r="Z239" i="1"/>
  <c r="Z233" i="1"/>
  <c r="Z230" i="1"/>
  <c r="X230" i="1"/>
  <c r="Z225" i="1"/>
  <c r="Z224" i="1"/>
  <c r="Z721" i="1"/>
  <c r="Z715" i="1"/>
  <c r="Z714" i="1"/>
  <c r="Z713" i="1"/>
  <c r="Z712" i="1"/>
  <c r="Z711" i="1"/>
  <c r="Z710" i="1"/>
  <c r="Z709" i="1"/>
  <c r="Z708" i="1"/>
  <c r="Z706" i="1"/>
  <c r="Z705" i="1"/>
  <c r="Z704" i="1"/>
  <c r="Z702" i="1"/>
  <c r="Z701" i="1"/>
  <c r="Z700" i="1"/>
  <c r="Z699" i="1"/>
  <c r="Z724" i="1"/>
  <c r="Z716" i="1"/>
  <c r="Z694" i="1"/>
  <c r="Z685" i="1"/>
  <c r="Z684" i="1"/>
  <c r="Z682" i="1"/>
  <c r="Z678" i="1"/>
  <c r="Z660" i="1"/>
  <c r="Z656" i="1"/>
  <c r="Z657" i="1"/>
  <c r="B487" i="10" l="1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B750" i="10" s="1"/>
  <c r="B751" i="10" s="1"/>
  <c r="B752" i="10" s="1"/>
  <c r="B753" i="10" s="1"/>
  <c r="X427" i="1"/>
  <c r="X327" i="1"/>
  <c r="X289" i="1"/>
  <c r="X257" i="1"/>
  <c r="X239" i="1"/>
  <c r="X224" i="1"/>
  <c r="X225" i="1"/>
  <c r="X715" i="1"/>
  <c r="X710" i="1"/>
  <c r="X711" i="1"/>
  <c r="X712" i="1"/>
  <c r="X714" i="1"/>
  <c r="X701" i="1"/>
  <c r="X702" i="1"/>
  <c r="X685" i="1"/>
  <c r="X684" i="1"/>
  <c r="X682" i="1"/>
  <c r="X656" i="1"/>
  <c r="Z623" i="1"/>
  <c r="Z572" i="1"/>
  <c r="Z131" i="1"/>
  <c r="Z647" i="1"/>
  <c r="Z628" i="1"/>
  <c r="Z599" i="1"/>
  <c r="Z596" i="1"/>
  <c r="Z574" i="1"/>
  <c r="Z654" i="1"/>
  <c r="Z649" i="1"/>
  <c r="Z648" i="1"/>
  <c r="Z635" i="1"/>
  <c r="X635" i="1"/>
  <c r="Z632" i="1"/>
  <c r="Z626" i="1"/>
  <c r="Z606" i="1"/>
  <c r="Z594" i="1"/>
  <c r="X594" i="1"/>
  <c r="Z584" i="1"/>
  <c r="Z581" i="1"/>
  <c r="Z579" i="1"/>
  <c r="Z651" i="1"/>
  <c r="X651" i="1"/>
  <c r="Z643" i="1"/>
  <c r="Z511" i="1"/>
  <c r="Z547" i="1"/>
  <c r="Z525" i="1"/>
  <c r="Z518" i="1"/>
  <c r="Z507" i="1"/>
  <c r="X507" i="1"/>
  <c r="Z496" i="1"/>
  <c r="Z494" i="1"/>
  <c r="X716" i="1"/>
  <c r="X694" i="1"/>
  <c r="X678" i="1"/>
  <c r="X233" i="1" l="1"/>
  <c r="X724" i="1"/>
  <c r="X700" i="1"/>
  <c r="X704" i="1"/>
  <c r="X705" i="1"/>
  <c r="X706" i="1"/>
  <c r="X713" i="1"/>
  <c r="X131" i="1"/>
  <c r="X647" i="1"/>
  <c r="X628" i="1"/>
  <c r="X654" i="1"/>
  <c r="X649" i="1"/>
  <c r="X632" i="1"/>
  <c r="X626" i="1"/>
  <c r="X584" i="1"/>
  <c r="X581" i="1"/>
  <c r="X579" i="1"/>
  <c r="X643" i="1"/>
  <c r="X511" i="1"/>
  <c r="X518" i="1"/>
  <c r="X496" i="1"/>
  <c r="X494" i="1"/>
  <c r="X709" i="1" l="1"/>
  <c r="X657" i="1"/>
  <c r="X708" i="1"/>
  <c r="X660" i="1"/>
  <c r="X431" i="1" l="1"/>
  <c r="X426" i="1" l="1"/>
  <c r="X430" i="1"/>
  <c r="X332" i="1"/>
  <c r="X325" i="1"/>
  <c r="X721" i="1"/>
  <c r="X547" i="1"/>
  <c r="X572" i="1"/>
  <c r="X525" i="1"/>
  <c r="X596" i="1"/>
  <c r="X599" i="1"/>
  <c r="E93" i="10" l="1"/>
  <c r="S93" i="1" s="1"/>
  <c r="T13" i="10"/>
  <c r="T117" i="1" l="1"/>
  <c r="N117" i="1" s="1"/>
  <c r="X699" i="1"/>
  <c r="AP117" i="1" l="1"/>
  <c r="X574" i="1"/>
  <c r="E536" i="10" l="1"/>
  <c r="T541" i="1" s="1"/>
  <c r="E48" i="10"/>
  <c r="E47" i="10"/>
  <c r="E46" i="10"/>
  <c r="S65" i="1" l="1"/>
  <c r="R66" i="1"/>
  <c r="S66" i="1" s="1"/>
  <c r="S67" i="1"/>
  <c r="T67" i="1" s="1"/>
  <c r="S88" i="1" s="1"/>
  <c r="AY541" i="1"/>
  <c r="N541" i="1"/>
  <c r="T536" i="1"/>
  <c r="AY536" i="1" s="1"/>
  <c r="AT66" i="1" l="1"/>
  <c r="T66" i="1"/>
  <c r="N66" i="1" s="1"/>
  <c r="V66" i="1" s="1"/>
  <c r="N88" i="1"/>
  <c r="AS599" i="1"/>
  <c r="AT599" i="1" s="1"/>
  <c r="AT88" i="1"/>
  <c r="AP541" i="1"/>
  <c r="U541" i="1"/>
  <c r="AT67" i="1"/>
  <c r="N67" i="1"/>
  <c r="AT65" i="1"/>
  <c r="N65" i="1"/>
  <c r="AS274" i="1"/>
  <c r="AT274" i="1" s="1"/>
  <c r="N536" i="1"/>
  <c r="AP536" i="1" s="1"/>
  <c r="T47" i="1"/>
  <c r="U66" i="1" l="1"/>
  <c r="AP65" i="1"/>
  <c r="AP88" i="1"/>
  <c r="AP66" i="1"/>
  <c r="AP67" i="1"/>
  <c r="U67" i="1"/>
  <c r="AA67" i="1"/>
  <c r="AD67" i="1"/>
  <c r="N47" i="1"/>
  <c r="U536" i="1"/>
  <c r="E520" i="10"/>
  <c r="T525" i="1" s="1"/>
  <c r="E258" i="10"/>
  <c r="T268" i="1" s="1"/>
  <c r="AP47" i="1" l="1"/>
  <c r="N525" i="1"/>
  <c r="AY525" i="1"/>
  <c r="AY268" i="1"/>
  <c r="N268" i="1"/>
  <c r="E27" i="10"/>
  <c r="E17" i="10" s="1"/>
  <c r="S258" i="1"/>
  <c r="S520" i="1"/>
  <c r="S46" i="1" l="1"/>
  <c r="AP268" i="1"/>
  <c r="U268" i="1"/>
  <c r="V268" i="1"/>
  <c r="AP525" i="1"/>
  <c r="U525" i="1"/>
  <c r="AX258" i="1"/>
  <c r="AT258" i="1"/>
  <c r="AX520" i="1"/>
  <c r="AT520" i="1"/>
  <c r="N520" i="1"/>
  <c r="AP520" i="1" s="1"/>
  <c r="N258" i="1"/>
  <c r="AP258" i="1" s="1"/>
  <c r="S27" i="1"/>
  <c r="AT27" i="1" l="1"/>
  <c r="AT46" i="1"/>
  <c r="T46" i="1"/>
  <c r="N46" i="1" s="1"/>
  <c r="AS527" i="1"/>
  <c r="AT527" i="1" s="1"/>
  <c r="T48" i="1"/>
  <c r="N48" i="1" s="1"/>
  <c r="U520" i="1"/>
  <c r="U258" i="1"/>
  <c r="V258" i="1"/>
  <c r="T27" i="1"/>
  <c r="AP46" i="1" l="1"/>
  <c r="AP48" i="1"/>
  <c r="AQ210" i="1"/>
  <c r="N27" i="1"/>
  <c r="X623" i="1"/>
  <c r="AP27" i="1" l="1"/>
  <c r="T39" i="1"/>
  <c r="U14" i="10"/>
  <c r="U13" i="10" s="1"/>
  <c r="N39" i="1" l="1"/>
  <c r="Z725" i="1"/>
  <c r="AP39" i="1" l="1"/>
  <c r="X725" i="1"/>
  <c r="X648" i="1"/>
  <c r="Z753" i="1" l="1"/>
  <c r="Z202" i="1"/>
  <c r="Z200" i="1"/>
  <c r="Z199" i="1"/>
  <c r="Z195" i="1"/>
  <c r="Z751" i="1"/>
  <c r="Z750" i="1"/>
  <c r="Z748" i="1"/>
  <c r="Z467" i="1"/>
  <c r="Z465" i="1"/>
  <c r="Z462" i="1"/>
  <c r="Z177" i="1"/>
  <c r="Z455" i="1"/>
  <c r="Z454" i="1"/>
  <c r="Z453" i="1"/>
  <c r="Z452" i="1"/>
  <c r="Z443" i="1"/>
  <c r="Z442" i="1"/>
  <c r="Z441" i="1"/>
  <c r="Z437" i="1"/>
  <c r="Z435" i="1"/>
  <c r="Z432" i="1"/>
  <c r="Z720" i="1"/>
  <c r="Z719" i="1"/>
  <c r="Z423" i="1"/>
  <c r="Z162" i="1"/>
  <c r="Z417" i="1"/>
  <c r="Z416" i="1"/>
  <c r="Z415" i="1"/>
  <c r="Z414" i="1"/>
  <c r="Z413" i="1"/>
  <c r="Z412" i="1"/>
  <c r="Z411" i="1"/>
  <c r="Z410" i="1"/>
  <c r="Z409" i="1"/>
  <c r="Z408" i="1"/>
  <c r="Z407" i="1"/>
  <c r="Z707" i="1"/>
  <c r="Z406" i="1"/>
  <c r="Z405" i="1"/>
  <c r="Z404" i="1"/>
  <c r="Z403" i="1"/>
  <c r="Z402" i="1"/>
  <c r="Z401" i="1"/>
  <c r="Z400" i="1"/>
  <c r="Z399" i="1"/>
  <c r="Z398" i="1"/>
  <c r="Z396" i="1"/>
  <c r="Z698" i="1"/>
  <c r="Z395" i="1"/>
  <c r="Z394" i="1"/>
  <c r="Z692" i="1"/>
  <c r="Z691" i="1"/>
  <c r="Z690" i="1"/>
  <c r="Z689" i="1"/>
  <c r="Z688" i="1"/>
  <c r="Z687" i="1"/>
  <c r="Z146" i="1"/>
  <c r="Z371" i="1"/>
  <c r="Z356" i="1"/>
  <c r="Z353" i="1"/>
  <c r="Z352" i="1"/>
  <c r="Z134" i="1"/>
  <c r="Z125" i="1"/>
  <c r="Z124" i="1"/>
  <c r="Z119" i="1"/>
  <c r="Z630" i="1"/>
  <c r="Z112" i="1"/>
  <c r="Z319" i="1"/>
  <c r="Z318" i="1"/>
  <c r="Z105" i="1"/>
  <c r="Z104" i="1"/>
  <c r="Z100" i="1"/>
  <c r="Z99" i="1"/>
  <c r="Z98" i="1"/>
  <c r="Z605" i="1"/>
  <c r="Z90" i="1"/>
  <c r="Z89" i="1"/>
  <c r="Z590" i="1"/>
  <c r="Z71" i="1"/>
  <c r="Z70" i="1"/>
  <c r="Z69" i="1"/>
  <c r="Z571" i="1"/>
  <c r="Z559" i="1"/>
  <c r="Z554" i="1"/>
  <c r="Z51" i="1"/>
  <c r="Z264" i="1"/>
  <c r="Z48" i="1"/>
  <c r="Z47" i="1"/>
  <c r="Z46" i="1"/>
  <c r="Z263" i="1"/>
  <c r="Z262" i="1"/>
  <c r="Z261" i="1"/>
  <c r="Z45" i="1"/>
  <c r="Z259" i="1"/>
  <c r="Z34" i="1"/>
  <c r="Z258" i="1"/>
  <c r="Z514" i="1"/>
  <c r="Z28" i="1"/>
  <c r="Z27" i="1"/>
  <c r="Z492" i="1"/>
  <c r="Z491" i="1"/>
  <c r="Z25" i="1"/>
  <c r="Z489" i="1"/>
  <c r="Z256" i="1"/>
  <c r="Z255" i="1"/>
  <c r="Z197" i="1"/>
  <c r="Z196" i="1"/>
  <c r="Z201" i="1"/>
  <c r="Z193" i="1"/>
  <c r="Z190" i="1"/>
  <c r="Z188" i="1"/>
  <c r="Z180" i="1"/>
  <c r="Z469" i="1"/>
  <c r="Z464" i="1"/>
  <c r="Z468" i="1"/>
  <c r="Z179" i="1"/>
  <c r="Z461" i="1"/>
  <c r="Z460" i="1"/>
  <c r="Z176" i="1"/>
  <c r="Z458" i="1"/>
  <c r="Z457" i="1"/>
  <c r="Z456" i="1"/>
  <c r="Z449" i="1"/>
  <c r="Z172" i="1"/>
  <c r="Z170" i="1"/>
  <c r="Z723" i="1"/>
  <c r="Z166" i="1"/>
  <c r="Z420" i="1"/>
  <c r="Z160" i="1"/>
  <c r="Z419" i="1"/>
  <c r="Z158" i="1"/>
  <c r="Z397" i="1"/>
  <c r="Z686" i="1"/>
  <c r="Z152" i="1"/>
  <c r="Z151" i="1"/>
  <c r="Z683" i="1"/>
  <c r="Z681" i="1"/>
  <c r="Z680" i="1"/>
  <c r="Z679" i="1"/>
  <c r="Z150" i="1"/>
  <c r="Z677" i="1"/>
  <c r="Z676" i="1"/>
  <c r="Z675" i="1"/>
  <c r="Z381" i="1"/>
  <c r="Z377" i="1"/>
  <c r="Z376" i="1"/>
  <c r="Z375" i="1"/>
  <c r="Z374" i="1"/>
  <c r="Z373" i="1"/>
  <c r="Z372" i="1"/>
  <c r="Z370" i="1"/>
  <c r="Z369" i="1"/>
  <c r="Z368" i="1"/>
  <c r="Z367" i="1"/>
  <c r="Z366" i="1"/>
  <c r="Z355" i="1"/>
  <c r="Z673" i="1"/>
  <c r="Z672" i="1"/>
  <c r="Z671" i="1"/>
  <c r="Z351" i="1"/>
  <c r="Z132" i="1"/>
  <c r="Z653" i="1"/>
  <c r="Z346" i="1"/>
  <c r="Z652" i="1"/>
  <c r="Z650" i="1"/>
  <c r="Z123" i="1"/>
  <c r="Z121" i="1"/>
  <c r="Z330" i="1"/>
  <c r="Z631" i="1"/>
  <c r="Z118" i="1"/>
  <c r="Z116" i="1"/>
  <c r="Z115" i="1"/>
  <c r="Z114" i="1"/>
  <c r="Z113" i="1"/>
  <c r="Z627" i="1"/>
  <c r="Z109" i="1"/>
  <c r="Z320" i="1"/>
  <c r="Z108" i="1"/>
  <c r="Z625" i="1"/>
  <c r="Z624" i="1"/>
  <c r="Z107" i="1"/>
  <c r="Z622" i="1"/>
  <c r="Z621" i="1"/>
  <c r="Z103" i="1"/>
  <c r="Z102" i="1"/>
  <c r="Z101" i="1"/>
  <c r="Z309" i="1"/>
  <c r="Z617" i="1"/>
  <c r="Z615" i="1"/>
  <c r="Z614" i="1"/>
  <c r="Z304" i="1"/>
  <c r="Z96" i="1"/>
  <c r="Z302" i="1"/>
  <c r="Z301" i="1"/>
  <c r="Z608" i="1"/>
  <c r="Z607" i="1"/>
  <c r="Z93" i="1"/>
  <c r="Z92" i="1"/>
  <c r="Z91" i="1"/>
  <c r="Z604" i="1"/>
  <c r="Z603" i="1"/>
  <c r="Z602" i="1"/>
  <c r="Z601" i="1"/>
  <c r="Z88" i="1"/>
  <c r="Z293" i="1"/>
  <c r="Z86" i="1"/>
  <c r="Z85" i="1"/>
  <c r="Z290" i="1"/>
  <c r="Z84" i="1"/>
  <c r="Z83" i="1"/>
  <c r="Z82" i="1"/>
  <c r="Z81" i="1"/>
  <c r="Z80" i="1"/>
  <c r="Z591" i="1"/>
  <c r="Z78" i="1"/>
  <c r="Z583" i="1"/>
  <c r="Z575" i="1"/>
  <c r="Z73" i="1"/>
  <c r="Z563" i="1"/>
  <c r="Z61" i="1"/>
  <c r="Z65" i="1"/>
  <c r="Z64" i="1"/>
  <c r="Z59" i="1"/>
  <c r="Z57" i="1"/>
  <c r="Z56" i="1"/>
  <c r="Z55" i="1"/>
  <c r="Z253" i="1"/>
  <c r="Z251" i="1"/>
  <c r="Z53" i="1"/>
  <c r="Z556" i="1"/>
  <c r="Z245" i="1"/>
  <c r="Z553" i="1"/>
  <c r="Z552" i="1"/>
  <c r="Z248" i="1"/>
  <c r="Z551" i="1"/>
  <c r="Z247" i="1"/>
  <c r="Z246" i="1"/>
  <c r="Z244" i="1"/>
  <c r="Z549" i="1"/>
  <c r="Z243" i="1"/>
  <c r="Z543" i="1"/>
  <c r="Z542" i="1"/>
  <c r="Z541" i="1"/>
  <c r="Z540" i="1"/>
  <c r="Z539" i="1"/>
  <c r="Z536" i="1"/>
  <c r="Z241" i="1"/>
  <c r="Z240" i="1"/>
  <c r="Z50" i="1"/>
  <c r="Z238" i="1"/>
  <c r="Z524" i="1"/>
  <c r="Z521" i="1"/>
  <c r="Z520" i="1"/>
  <c r="Z519" i="1"/>
  <c r="Z236" i="1"/>
  <c r="Z235" i="1"/>
  <c r="Z40" i="1"/>
  <c r="Z39" i="1"/>
  <c r="Z38" i="1"/>
  <c r="Z37" i="1"/>
  <c r="Z36" i="1"/>
  <c r="Z35" i="1"/>
  <c r="Z512" i="1"/>
  <c r="Z509" i="1"/>
  <c r="Z508" i="1"/>
  <c r="Z32" i="1"/>
  <c r="Z506" i="1"/>
  <c r="Z505" i="1"/>
  <c r="Z31" i="1"/>
  <c r="Z30" i="1"/>
  <c r="Z222" i="1"/>
  <c r="Z221" i="1"/>
  <c r="Z493" i="1"/>
  <c r="Z490" i="1"/>
  <c r="Z23" i="1"/>
  <c r="Z22" i="1"/>
  <c r="Z21" i="1"/>
  <c r="Z198" i="1"/>
  <c r="Z747" i="1"/>
  <c r="Z745" i="1"/>
  <c r="Z744" i="1"/>
  <c r="Z194" i="1"/>
  <c r="Z742" i="1"/>
  <c r="Z741" i="1"/>
  <c r="Z740" i="1"/>
  <c r="Z192" i="1"/>
  <c r="Z191" i="1"/>
  <c r="Z189" i="1"/>
  <c r="Z183" i="1"/>
  <c r="Z459" i="1"/>
  <c r="Z448" i="1"/>
  <c r="Z167" i="1"/>
  <c r="Z718" i="1"/>
  <c r="Z165" i="1"/>
  <c r="Z429" i="1"/>
  <c r="Z164" i="1"/>
  <c r="Z717" i="1"/>
  <c r="Z422" i="1"/>
  <c r="Z697" i="1"/>
  <c r="Z693" i="1"/>
  <c r="Z153" i="1"/>
  <c r="Z147" i="1"/>
  <c r="Z145" i="1"/>
  <c r="Z379" i="1"/>
  <c r="Z378" i="1"/>
  <c r="Z363" i="1"/>
  <c r="Z670" i="1"/>
  <c r="Z669" i="1"/>
  <c r="Z668" i="1"/>
  <c r="Z667" i="1"/>
  <c r="Z362" i="1"/>
  <c r="Z361" i="1"/>
  <c r="Z360" i="1"/>
  <c r="Z359" i="1"/>
  <c r="Z358" i="1"/>
  <c r="Z357" i="1"/>
  <c r="Z666" i="1"/>
  <c r="Z665" i="1"/>
  <c r="Z664" i="1"/>
  <c r="Z663" i="1"/>
  <c r="Z662" i="1"/>
  <c r="Z661" i="1"/>
  <c r="Z139" i="1"/>
  <c r="Z659" i="1"/>
  <c r="Z658" i="1"/>
  <c r="Z135" i="1"/>
  <c r="Z655" i="1"/>
  <c r="Z133" i="1"/>
  <c r="Z129" i="1"/>
  <c r="Z128" i="1"/>
  <c r="Z126" i="1"/>
  <c r="Z646" i="1"/>
  <c r="Z336" i="1"/>
  <c r="Z333" i="1"/>
  <c r="Z120" i="1"/>
  <c r="Z328" i="1"/>
  <c r="Z629" i="1"/>
  <c r="Z117" i="1"/>
  <c r="Z322" i="1"/>
  <c r="Z321" i="1"/>
  <c r="Z110" i="1"/>
  <c r="Z317" i="1"/>
  <c r="Z316" i="1"/>
  <c r="Z315" i="1"/>
  <c r="Z314" i="1"/>
  <c r="Z613" i="1"/>
  <c r="Z303" i="1"/>
  <c r="Z299" i="1"/>
  <c r="Z95" i="1"/>
  <c r="Z94" i="1"/>
  <c r="Z600" i="1"/>
  <c r="Z288" i="1"/>
  <c r="Z588" i="1"/>
  <c r="Z77" i="1"/>
  <c r="Z582" i="1"/>
  <c r="Z285" i="1"/>
  <c r="Z284" i="1"/>
  <c r="Z281" i="1"/>
  <c r="Z578" i="1"/>
  <c r="Z280" i="1"/>
  <c r="Z279" i="1"/>
  <c r="Z566" i="1"/>
  <c r="Z565" i="1"/>
  <c r="Z564" i="1"/>
  <c r="Z63" i="1"/>
  <c r="Z62" i="1"/>
  <c r="Z265" i="1"/>
  <c r="Z555" i="1"/>
  <c r="Z550" i="1"/>
  <c r="Z548" i="1"/>
  <c r="Z546" i="1"/>
  <c r="Z545" i="1"/>
  <c r="Z544" i="1"/>
  <c r="Z535" i="1"/>
  <c r="Z533" i="1"/>
  <c r="Z532" i="1"/>
  <c r="Z531" i="1"/>
  <c r="Z530" i="1"/>
  <c r="Z529" i="1"/>
  <c r="Z44" i="1"/>
  <c r="Z526" i="1"/>
  <c r="Z42" i="1"/>
  <c r="Z522" i="1"/>
  <c r="Z515" i="1"/>
  <c r="Z513" i="1"/>
  <c r="Z228" i="1"/>
  <c r="Z227" i="1"/>
  <c r="Z500" i="1"/>
  <c r="Z497" i="1"/>
  <c r="Z223" i="1"/>
  <c r="Z220" i="1"/>
  <c r="Z212" i="1"/>
  <c r="Z24" i="1"/>
  <c r="Z20" i="1"/>
  <c r="Z19" i="1"/>
  <c r="Z18" i="1"/>
  <c r="Z746" i="1"/>
  <c r="Z743" i="1"/>
  <c r="Z466" i="1"/>
  <c r="Z463" i="1"/>
  <c r="Z433" i="1"/>
  <c r="Z421" i="1"/>
  <c r="Z161" i="1"/>
  <c r="Z159" i="1"/>
  <c r="Z674" i="1"/>
  <c r="Z137" i="1"/>
  <c r="Z130" i="1"/>
  <c r="Z337" i="1"/>
  <c r="Z616" i="1"/>
  <c r="Z597" i="1"/>
  <c r="Z585" i="1"/>
  <c r="Z577" i="1"/>
  <c r="Z576" i="1"/>
  <c r="Z573" i="1"/>
  <c r="Z567" i="1"/>
  <c r="Z562" i="1"/>
  <c r="Z557" i="1"/>
  <c r="Z537" i="1"/>
  <c r="Z527" i="1"/>
  <c r="Z486" i="1"/>
  <c r="Z485" i="1"/>
  <c r="Z484" i="1"/>
  <c r="Z483" i="1"/>
  <c r="Z149" i="1"/>
  <c r="Z148" i="1"/>
  <c r="Z72" i="1"/>
  <c r="Z74" i="1"/>
  <c r="AL14" i="1" l="1"/>
  <c r="AJ14" i="1"/>
  <c r="AH14" i="1"/>
  <c r="AD14" i="1"/>
  <c r="AB14" i="1"/>
  <c r="AK14" i="1"/>
  <c r="AI14" i="1"/>
  <c r="AG14" i="1"/>
  <c r="AE14" i="1"/>
  <c r="AC14" i="1"/>
  <c r="AA14" i="1"/>
  <c r="AF14" i="1"/>
  <c r="AO14" i="1" l="1"/>
  <c r="AM14" i="1"/>
  <c r="AN14" i="1" l="1"/>
  <c r="Z14" i="1"/>
  <c r="X72" i="1" l="1"/>
  <c r="Y14" i="1" l="1"/>
  <c r="X483" i="1" l="1"/>
  <c r="X485" i="1"/>
  <c r="X486" i="1"/>
  <c r="X527" i="1"/>
  <c r="X537" i="1"/>
  <c r="X557" i="1"/>
  <c r="X562" i="1"/>
  <c r="X573" i="1"/>
  <c r="X576" i="1"/>
  <c r="X577" i="1"/>
  <c r="X585" i="1"/>
  <c r="X616" i="1"/>
  <c r="X337" i="1"/>
  <c r="X130" i="1"/>
  <c r="X137" i="1"/>
  <c r="X674" i="1"/>
  <c r="X159" i="1"/>
  <c r="X161" i="1"/>
  <c r="X421" i="1"/>
  <c r="X433" i="1"/>
  <c r="X463" i="1"/>
  <c r="X466" i="1"/>
  <c r="X743" i="1"/>
  <c r="X746" i="1"/>
  <c r="X19" i="1"/>
  <c r="X24" i="1"/>
  <c r="X212" i="1"/>
  <c r="X220" i="1"/>
  <c r="X223" i="1"/>
  <c r="X497" i="1"/>
  <c r="X500" i="1"/>
  <c r="X227" i="1"/>
  <c r="X228" i="1"/>
  <c r="X513" i="1"/>
  <c r="X522" i="1"/>
  <c r="X526" i="1"/>
  <c r="X44" i="1"/>
  <c r="X530" i="1"/>
  <c r="X531" i="1"/>
  <c r="X532" i="1"/>
  <c r="X533" i="1"/>
  <c r="X535" i="1"/>
  <c r="X544" i="1"/>
  <c r="X545" i="1"/>
  <c r="X546" i="1"/>
  <c r="X548" i="1"/>
  <c r="X550" i="1"/>
  <c r="X555" i="1"/>
  <c r="X265" i="1"/>
  <c r="X62" i="1"/>
  <c r="X63" i="1"/>
  <c r="X564" i="1"/>
  <c r="X565" i="1"/>
  <c r="X566" i="1"/>
  <c r="X279" i="1"/>
  <c r="X280" i="1"/>
  <c r="X578" i="1"/>
  <c r="X281" i="1"/>
  <c r="X284" i="1"/>
  <c r="X77" i="1"/>
  <c r="X588" i="1"/>
  <c r="X288" i="1"/>
  <c r="X600" i="1"/>
  <c r="X303" i="1"/>
  <c r="X314" i="1"/>
  <c r="X315" i="1"/>
  <c r="X317" i="1"/>
  <c r="X110" i="1"/>
  <c r="X117" i="1"/>
  <c r="X629" i="1"/>
  <c r="X328" i="1"/>
  <c r="X120" i="1"/>
  <c r="X333" i="1"/>
  <c r="X336" i="1"/>
  <c r="X646" i="1"/>
  <c r="X126" i="1"/>
  <c r="X128" i="1"/>
  <c r="X129" i="1"/>
  <c r="X133" i="1"/>
  <c r="X655" i="1"/>
  <c r="X135" i="1"/>
  <c r="X658" i="1"/>
  <c r="X659" i="1"/>
  <c r="X139" i="1"/>
  <c r="X661" i="1"/>
  <c r="X662" i="1"/>
  <c r="X663" i="1"/>
  <c r="X665" i="1"/>
  <c r="X357" i="1"/>
  <c r="X358" i="1"/>
  <c r="X359" i="1"/>
  <c r="X360" i="1"/>
  <c r="X361" i="1"/>
  <c r="X362" i="1"/>
  <c r="X667" i="1"/>
  <c r="X668" i="1"/>
  <c r="X669" i="1"/>
  <c r="X363" i="1"/>
  <c r="X145" i="1"/>
  <c r="X147" i="1"/>
  <c r="X153" i="1"/>
  <c r="X693" i="1"/>
  <c r="X697" i="1"/>
  <c r="X422" i="1"/>
  <c r="X717" i="1"/>
  <c r="X164" i="1"/>
  <c r="X429" i="1"/>
  <c r="X165" i="1"/>
  <c r="X718" i="1"/>
  <c r="X167" i="1"/>
  <c r="X459" i="1"/>
  <c r="X183" i="1"/>
  <c r="X189" i="1"/>
  <c r="X191" i="1"/>
  <c r="X192" i="1"/>
  <c r="X741" i="1"/>
  <c r="X742" i="1"/>
  <c r="X194" i="1"/>
  <c r="X744" i="1"/>
  <c r="X745" i="1"/>
  <c r="X747" i="1"/>
  <c r="X198" i="1"/>
  <c r="X21" i="1"/>
  <c r="X22" i="1"/>
  <c r="X23" i="1"/>
  <c r="X490" i="1"/>
  <c r="X493" i="1"/>
  <c r="X221" i="1"/>
  <c r="X222" i="1"/>
  <c r="X505" i="1"/>
  <c r="X32" i="1"/>
  <c r="X508" i="1"/>
  <c r="X509" i="1"/>
  <c r="X512" i="1"/>
  <c r="X35" i="1"/>
  <c r="X37" i="1"/>
  <c r="X38" i="1"/>
  <c r="X40" i="1"/>
  <c r="X235" i="1"/>
  <c r="X236" i="1"/>
  <c r="X519" i="1"/>
  <c r="X520" i="1"/>
  <c r="X521" i="1"/>
  <c r="X524" i="1"/>
  <c r="X238" i="1"/>
  <c r="X50" i="1"/>
  <c r="X241" i="1"/>
  <c r="X536" i="1"/>
  <c r="X539" i="1"/>
  <c r="X540" i="1"/>
  <c r="X541" i="1"/>
  <c r="X542" i="1"/>
  <c r="X543" i="1"/>
  <c r="X243" i="1"/>
  <c r="X549" i="1"/>
  <c r="X244" i="1"/>
  <c r="X246" i="1"/>
  <c r="X247" i="1"/>
  <c r="X551" i="1"/>
  <c r="X248" i="1"/>
  <c r="X552" i="1"/>
  <c r="X553" i="1"/>
  <c r="X53" i="1"/>
  <c r="X251" i="1"/>
  <c r="X253" i="1"/>
  <c r="X55" i="1"/>
  <c r="X56" i="1"/>
  <c r="X57" i="1"/>
  <c r="X59" i="1"/>
  <c r="X64" i="1"/>
  <c r="X65" i="1"/>
  <c r="X61" i="1"/>
  <c r="X563" i="1"/>
  <c r="X73" i="1"/>
  <c r="X575" i="1"/>
  <c r="X583" i="1"/>
  <c r="X78" i="1"/>
  <c r="X591" i="1"/>
  <c r="X80" i="1"/>
  <c r="X81" i="1"/>
  <c r="X82" i="1"/>
  <c r="X83" i="1"/>
  <c r="X84" i="1"/>
  <c r="X290" i="1"/>
  <c r="X85" i="1"/>
  <c r="X86" i="1"/>
  <c r="X293" i="1"/>
  <c r="X88" i="1"/>
  <c r="X601" i="1"/>
  <c r="X602" i="1"/>
  <c r="X603" i="1"/>
  <c r="X604" i="1"/>
  <c r="X91" i="1"/>
  <c r="X92" i="1"/>
  <c r="X93" i="1"/>
  <c r="X607" i="1"/>
  <c r="X608" i="1"/>
  <c r="X301" i="1"/>
  <c r="X302" i="1"/>
  <c r="X614" i="1"/>
  <c r="X615" i="1"/>
  <c r="X617" i="1"/>
  <c r="X309" i="1"/>
  <c r="X101" i="1"/>
  <c r="X102" i="1"/>
  <c r="X103" i="1"/>
  <c r="X621" i="1"/>
  <c r="X622" i="1"/>
  <c r="X107" i="1"/>
  <c r="X624" i="1"/>
  <c r="X625" i="1"/>
  <c r="X108" i="1"/>
  <c r="X320" i="1"/>
  <c r="X109" i="1"/>
  <c r="X627" i="1"/>
  <c r="X113" i="1"/>
  <c r="X114" i="1"/>
  <c r="X115" i="1"/>
  <c r="X116" i="1"/>
  <c r="X118" i="1"/>
  <c r="X631" i="1"/>
  <c r="X330" i="1"/>
  <c r="X121" i="1"/>
  <c r="X123" i="1"/>
  <c r="X650" i="1"/>
  <c r="X652" i="1"/>
  <c r="X346" i="1"/>
  <c r="X653" i="1"/>
  <c r="X132" i="1"/>
  <c r="X351" i="1"/>
  <c r="X671" i="1"/>
  <c r="X672" i="1"/>
  <c r="X673" i="1"/>
  <c r="X355" i="1"/>
  <c r="X675" i="1"/>
  <c r="X676" i="1"/>
  <c r="X677" i="1"/>
  <c r="X150" i="1"/>
  <c r="X679" i="1"/>
  <c r="X680" i="1"/>
  <c r="X681" i="1"/>
  <c r="X683" i="1"/>
  <c r="X151" i="1"/>
  <c r="X152" i="1"/>
  <c r="X686" i="1"/>
  <c r="X397" i="1"/>
  <c r="X158" i="1"/>
  <c r="X419" i="1"/>
  <c r="X160" i="1"/>
  <c r="X420" i="1"/>
  <c r="X166" i="1"/>
  <c r="X723" i="1"/>
  <c r="X170" i="1"/>
  <c r="X449" i="1"/>
  <c r="X456" i="1"/>
  <c r="X457" i="1"/>
  <c r="X458" i="1"/>
  <c r="X176" i="1"/>
  <c r="X460" i="1"/>
  <c r="X461" i="1"/>
  <c r="X179" i="1"/>
  <c r="X468" i="1"/>
  <c r="X464" i="1"/>
  <c r="X469" i="1"/>
  <c r="X180" i="1"/>
  <c r="X188" i="1"/>
  <c r="X190" i="1"/>
  <c r="X193" i="1"/>
  <c r="X201" i="1"/>
  <c r="X196" i="1"/>
  <c r="X197" i="1"/>
  <c r="X255" i="1"/>
  <c r="X256" i="1"/>
  <c r="X489" i="1"/>
  <c r="X25" i="1"/>
  <c r="X491" i="1"/>
  <c r="X492" i="1"/>
  <c r="X27" i="1"/>
  <c r="X258" i="1"/>
  <c r="X34" i="1"/>
  <c r="X45" i="1"/>
  <c r="X262" i="1"/>
  <c r="X263" i="1"/>
  <c r="X46" i="1"/>
  <c r="X47" i="1"/>
  <c r="X48" i="1"/>
  <c r="X264" i="1"/>
  <c r="X51" i="1"/>
  <c r="X554" i="1"/>
  <c r="X559" i="1"/>
  <c r="X571" i="1"/>
  <c r="X69" i="1"/>
  <c r="X70" i="1"/>
  <c r="X71" i="1"/>
  <c r="X590" i="1"/>
  <c r="X89" i="1"/>
  <c r="X90" i="1"/>
  <c r="X605" i="1"/>
  <c r="X98" i="1"/>
  <c r="X100" i="1"/>
  <c r="X104" i="1"/>
  <c r="X318" i="1"/>
  <c r="X319" i="1"/>
  <c r="X630" i="1"/>
  <c r="X119" i="1"/>
  <c r="X124" i="1"/>
  <c r="X125" i="1"/>
  <c r="X352" i="1"/>
  <c r="X353" i="1"/>
  <c r="X371" i="1"/>
  <c r="X146" i="1"/>
  <c r="X687" i="1"/>
  <c r="X688" i="1"/>
  <c r="X689" i="1"/>
  <c r="X690" i="1"/>
  <c r="X691" i="1"/>
  <c r="X692" i="1"/>
  <c r="X394" i="1"/>
  <c r="X395" i="1"/>
  <c r="X698" i="1"/>
  <c r="X396" i="1"/>
  <c r="X398" i="1"/>
  <c r="X399" i="1"/>
  <c r="X400" i="1"/>
  <c r="X401" i="1"/>
  <c r="X402" i="1"/>
  <c r="X403" i="1"/>
  <c r="X404" i="1"/>
  <c r="X405" i="1"/>
  <c r="X407" i="1"/>
  <c r="X408" i="1"/>
  <c r="X409" i="1"/>
  <c r="X410" i="1"/>
  <c r="X411" i="1"/>
  <c r="X412" i="1"/>
  <c r="X413" i="1"/>
  <c r="X414" i="1"/>
  <c r="X415" i="1"/>
  <c r="X416" i="1"/>
  <c r="X417" i="1"/>
  <c r="X162" i="1"/>
  <c r="X423" i="1"/>
  <c r="X719" i="1"/>
  <c r="X720" i="1"/>
  <c r="X432" i="1"/>
  <c r="X435" i="1"/>
  <c r="X437" i="1"/>
  <c r="X441" i="1"/>
  <c r="X442" i="1"/>
  <c r="X443" i="1"/>
  <c r="X452" i="1"/>
  <c r="X453" i="1"/>
  <c r="X454" i="1"/>
  <c r="X455" i="1"/>
  <c r="X177" i="1"/>
  <c r="X462" i="1"/>
  <c r="X465" i="1"/>
  <c r="X467" i="1"/>
  <c r="X748" i="1"/>
  <c r="X750" i="1"/>
  <c r="X751" i="1"/>
  <c r="X199" i="1"/>
  <c r="X200" i="1"/>
  <c r="X202" i="1"/>
  <c r="X753" i="1"/>
  <c r="X148" i="1"/>
  <c r="X149" i="1"/>
  <c r="X99" i="1" l="1"/>
  <c r="X105" i="1"/>
  <c r="X134" i="1"/>
  <c r="X195" i="1"/>
  <c r="X28" i="1" l="1"/>
  <c r="X406" i="1"/>
  <c r="X356" i="1"/>
  <c r="X613" i="1"/>
  <c r="X556" i="1" l="1"/>
  <c r="X20" i="1" l="1"/>
  <c r="X259" i="1" l="1"/>
  <c r="X285" i="1"/>
  <c r="U371" i="1" l="1"/>
  <c r="V371" i="1"/>
  <c r="U145" i="1" l="1"/>
  <c r="V145" i="1"/>
  <c r="U198" i="1" l="1"/>
  <c r="U192" i="1"/>
  <c r="U191" i="1"/>
  <c r="U183" i="1"/>
  <c r="V165" i="1"/>
  <c r="V135" i="1"/>
  <c r="V133" i="1"/>
  <c r="V129" i="1"/>
  <c r="U126" i="1"/>
  <c r="V198" i="1"/>
  <c r="V194" i="1"/>
  <c r="U189" i="1"/>
  <c r="V183" i="1"/>
  <c r="V126" i="1" l="1"/>
  <c r="U135" i="1"/>
  <c r="U129" i="1"/>
  <c r="U133" i="1"/>
  <c r="V139" i="1"/>
  <c r="U165" i="1"/>
  <c r="V189" i="1"/>
  <c r="U194" i="1"/>
  <c r="U139" i="1"/>
  <c r="V191" i="1"/>
  <c r="V192" i="1"/>
  <c r="U179" i="1" l="1"/>
  <c r="V170" i="1"/>
  <c r="V355" i="1"/>
  <c r="V118" i="1"/>
  <c r="V113" i="1"/>
  <c r="V53" i="1"/>
  <c r="V50" i="1"/>
  <c r="V235" i="1"/>
  <c r="U22" i="1"/>
  <c r="V21" i="1"/>
  <c r="V55" i="1" l="1"/>
  <c r="V59" i="1"/>
  <c r="V65" i="1"/>
  <c r="V61" i="1"/>
  <c r="V73" i="1"/>
  <c r="V81" i="1"/>
  <c r="V84" i="1"/>
  <c r="V85" i="1"/>
  <c r="V86" i="1"/>
  <c r="V88" i="1"/>
  <c r="V309" i="1"/>
  <c r="V101" i="1"/>
  <c r="V103" i="1"/>
  <c r="V107" i="1"/>
  <c r="V115" i="1"/>
  <c r="V121" i="1"/>
  <c r="V150" i="1"/>
  <c r="V151" i="1"/>
  <c r="V152" i="1"/>
  <c r="U176" i="1"/>
  <c r="V180" i="1"/>
  <c r="U170" i="1"/>
  <c r="U21" i="1"/>
  <c r="U235" i="1"/>
  <c r="U59" i="1"/>
  <c r="U86" i="1"/>
  <c r="U88" i="1"/>
  <c r="U121" i="1"/>
  <c r="U355" i="1"/>
  <c r="U152" i="1"/>
  <c r="V80" i="1"/>
  <c r="U80" i="1"/>
  <c r="V290" i="1"/>
  <c r="U290" i="1"/>
  <c r="V91" i="1"/>
  <c r="U91" i="1"/>
  <c r="V166" i="1"/>
  <c r="U166" i="1"/>
  <c r="V35" i="1"/>
  <c r="U35" i="1"/>
  <c r="V64" i="1"/>
  <c r="U64" i="1"/>
  <c r="V78" i="1"/>
  <c r="U78" i="1"/>
  <c r="V83" i="1"/>
  <c r="U83" i="1"/>
  <c r="V102" i="1"/>
  <c r="U102" i="1"/>
  <c r="V123" i="1"/>
  <c r="U123" i="1"/>
  <c r="V160" i="1"/>
  <c r="U160" i="1"/>
  <c r="V188" i="1"/>
  <c r="U188" i="1"/>
  <c r="V190" i="1"/>
  <c r="U190" i="1"/>
  <c r="V22" i="1"/>
  <c r="U50" i="1"/>
  <c r="U53" i="1"/>
  <c r="U55" i="1"/>
  <c r="U65" i="1"/>
  <c r="U61" i="1"/>
  <c r="U73" i="1"/>
  <c r="U81" i="1"/>
  <c r="U84" i="1"/>
  <c r="U85" i="1"/>
  <c r="U309" i="1"/>
  <c r="U101" i="1"/>
  <c r="U103" i="1"/>
  <c r="U107" i="1"/>
  <c r="U113" i="1"/>
  <c r="U115" i="1"/>
  <c r="U118" i="1"/>
  <c r="U150" i="1"/>
  <c r="U151" i="1"/>
  <c r="V176" i="1"/>
  <c r="V179" i="1"/>
  <c r="U180" i="1"/>
  <c r="U193" i="1" l="1"/>
  <c r="V32" i="1"/>
  <c r="U251" i="1"/>
  <c r="V40" i="1"/>
  <c r="V196" i="1"/>
  <c r="V251" i="1"/>
  <c r="U32" i="1"/>
  <c r="V164" i="1"/>
  <c r="V128" i="1"/>
  <c r="V82" i="1"/>
  <c r="V197" i="1"/>
  <c r="V201" i="1"/>
  <c r="V167" i="1"/>
  <c r="U153" i="1"/>
  <c r="U147" i="1"/>
  <c r="V193" i="1"/>
  <c r="U196" i="1"/>
  <c r="U201" i="1"/>
  <c r="U23" i="1"/>
  <c r="U197" i="1"/>
  <c r="U82" i="1"/>
  <c r="U40" i="1"/>
  <c r="V23" i="1"/>
  <c r="V153" i="1"/>
  <c r="U167" i="1"/>
  <c r="U128" i="1"/>
  <c r="U164" i="1"/>
  <c r="V147" i="1"/>
  <c r="V161" i="1" l="1"/>
  <c r="U161" i="1"/>
  <c r="U120" i="1" l="1"/>
  <c r="V120" i="1"/>
  <c r="U117" i="1"/>
  <c r="V117" i="1"/>
  <c r="U110" i="1"/>
  <c r="V110" i="1"/>
  <c r="U77" i="1"/>
  <c r="V77" i="1"/>
  <c r="V63" i="1"/>
  <c r="U63" i="1"/>
  <c r="V24" i="1"/>
  <c r="U24" i="1"/>
  <c r="V19" i="1"/>
  <c r="U19" i="1"/>
  <c r="V159" i="1"/>
  <c r="U159" i="1"/>
  <c r="V137" i="1"/>
  <c r="U137" i="1"/>
  <c r="V148" i="1"/>
  <c r="U148" i="1"/>
  <c r="U62" i="1"/>
  <c r="V62" i="1"/>
  <c r="U44" i="1"/>
  <c r="V44" i="1"/>
  <c r="U20" i="1"/>
  <c r="V20" i="1"/>
  <c r="V130" i="1"/>
  <c r="U130" i="1"/>
  <c r="V149" i="1"/>
  <c r="U149" i="1"/>
  <c r="V90" i="1" l="1"/>
  <c r="U90" i="1"/>
  <c r="U28" i="1" l="1"/>
  <c r="V28" i="1"/>
  <c r="U47" i="1"/>
  <c r="V47" i="1"/>
  <c r="U70" i="1"/>
  <c r="V70" i="1"/>
  <c r="V124" i="1"/>
  <c r="U124" i="1"/>
  <c r="V195" i="1"/>
  <c r="U195" i="1"/>
  <c r="V200" i="1"/>
  <c r="U200" i="1"/>
  <c r="V98" i="1"/>
  <c r="U98" i="1"/>
  <c r="V104" i="1"/>
  <c r="U104" i="1"/>
  <c r="V162" i="1"/>
  <c r="U162" i="1"/>
  <c r="V177" i="1"/>
  <c r="U177" i="1"/>
  <c r="V199" i="1"/>
  <c r="U199" i="1"/>
  <c r="V202" i="1"/>
  <c r="U202" i="1"/>
  <c r="V134" i="1" l="1"/>
  <c r="U134" i="1"/>
  <c r="V119" i="1"/>
  <c r="U119" i="1"/>
  <c r="U51" i="1"/>
  <c r="V51" i="1"/>
  <c r="U48" i="1"/>
  <c r="V48" i="1"/>
  <c r="U45" i="1"/>
  <c r="V45" i="1"/>
  <c r="U25" i="1"/>
  <c r="V25" i="1"/>
  <c r="U74" i="1"/>
  <c r="V74" i="1"/>
  <c r="U71" i="1"/>
  <c r="V71" i="1"/>
  <c r="V125" i="1"/>
  <c r="U125" i="1"/>
  <c r="V105" i="1"/>
  <c r="U105" i="1"/>
  <c r="V99" i="1"/>
  <c r="U99" i="1"/>
  <c r="U46" i="1"/>
  <c r="V46" i="1"/>
  <c r="U27" i="1"/>
  <c r="V27" i="1"/>
  <c r="V146" i="1" l="1"/>
  <c r="U146" i="1"/>
  <c r="X567" i="1" l="1"/>
  <c r="X18" i="1" l="1"/>
  <c r="V18" i="1" l="1"/>
  <c r="U18" i="1"/>
  <c r="X30" i="1" l="1"/>
  <c r="U30" i="1"/>
  <c r="V30" i="1" l="1"/>
  <c r="U36" i="1" l="1"/>
  <c r="V36" i="1"/>
  <c r="X36" i="1" l="1"/>
  <c r="X240" i="1"/>
  <c r="X94" i="1" l="1"/>
  <c r="V94" i="1" l="1"/>
  <c r="U94" i="1"/>
  <c r="X31" i="1" l="1"/>
  <c r="V31" i="1" l="1"/>
  <c r="U31" i="1"/>
  <c r="X261" i="1"/>
  <c r="X597" i="1" l="1"/>
  <c r="X370" i="1" l="1"/>
  <c r="X366" i="1"/>
  <c r="X367" i="1"/>
  <c r="X376" i="1"/>
  <c r="X373" i="1"/>
  <c r="X381" i="1"/>
  <c r="X375" i="1"/>
  <c r="X369" i="1"/>
  <c r="X374" i="1"/>
  <c r="X377" i="1"/>
  <c r="X368" i="1"/>
  <c r="X379" i="1"/>
  <c r="X372" i="1"/>
  <c r="X378" i="1"/>
  <c r="X304" i="1" l="1"/>
  <c r="X172" i="1" l="1"/>
  <c r="U172" i="1" l="1"/>
  <c r="V172" i="1"/>
  <c r="X299" i="1" l="1"/>
  <c r="X448" i="1" l="1"/>
  <c r="X506" i="1" l="1"/>
  <c r="X514" i="1" l="1"/>
  <c r="X515" i="1" l="1"/>
  <c r="X245" i="1" l="1"/>
  <c r="U245" i="1"/>
  <c r="V245" i="1" l="1"/>
  <c r="X707" i="1" l="1"/>
  <c r="X14" i="1" l="1"/>
  <c r="X316" i="1" l="1"/>
  <c r="X95" i="1"/>
  <c r="U95" i="1" l="1"/>
  <c r="V95" i="1"/>
  <c r="X606" i="1"/>
  <c r="X321" i="1" l="1"/>
  <c r="X322" i="1" l="1"/>
  <c r="X112" i="1" l="1"/>
  <c r="X529" i="1" l="1"/>
  <c r="X670" i="1" l="1"/>
  <c r="X664" i="1" l="1"/>
  <c r="X582" i="1" l="1"/>
  <c r="X484" i="1" l="1"/>
  <c r="X740" i="1"/>
  <c r="X666" i="1" l="1"/>
  <c r="X39" i="1"/>
  <c r="V39" i="1" l="1"/>
  <c r="AS233" i="1"/>
  <c r="AT233" i="1" s="1"/>
  <c r="U39" i="1" l="1"/>
  <c r="X96" i="1" l="1"/>
  <c r="U96" i="1" l="1"/>
  <c r="V96" i="1"/>
  <c r="X42" i="1"/>
  <c r="V42" i="1" l="1"/>
  <c r="U42" i="1"/>
  <c r="U158" i="1" l="1"/>
  <c r="V158" i="1"/>
  <c r="U108" i="1" l="1"/>
  <c r="V108" i="1"/>
  <c r="N89" i="1" l="1"/>
  <c r="AP89" i="1" l="1"/>
  <c r="U89" i="1"/>
  <c r="V89" i="1"/>
  <c r="P751" i="1" l="1"/>
  <c r="AU751" i="1" s="1"/>
  <c r="N751" i="1" l="1"/>
  <c r="AP751" i="1" s="1"/>
  <c r="U751" i="1" l="1"/>
  <c r="S92" i="1" l="1"/>
  <c r="AT92" i="1" s="1"/>
  <c r="R576" i="1"/>
  <c r="AW576" i="1" s="1"/>
  <c r="N576" i="1" l="1"/>
  <c r="AP576" i="1" s="1"/>
  <c r="S578" i="1"/>
  <c r="T92" i="1"/>
  <c r="N92" i="1" s="1"/>
  <c r="T116" i="1"/>
  <c r="N116" i="1" s="1"/>
  <c r="AP116" i="1" l="1"/>
  <c r="AP92" i="1"/>
  <c r="AX578" i="1"/>
  <c r="AT578" i="1"/>
  <c r="V116" i="1"/>
  <c r="U116" i="1"/>
  <c r="N578" i="1"/>
  <c r="AP578" i="1" s="1"/>
  <c r="AU580" i="1"/>
  <c r="U92" i="1"/>
  <c r="V92" i="1"/>
  <c r="U576" i="1"/>
  <c r="N580" i="1" l="1"/>
  <c r="AP580" i="1" s="1"/>
  <c r="P481" i="1"/>
  <c r="U578" i="1"/>
  <c r="U580" i="1" l="1"/>
  <c r="AD580" i="1"/>
  <c r="AA580" i="1"/>
  <c r="A207" i="10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T324" i="1" l="1"/>
  <c r="AY324" i="1" s="1"/>
  <c r="T356" i="1" l="1"/>
  <c r="N324" i="1"/>
  <c r="AP324" i="1" s="1"/>
  <c r="N356" i="1" l="1"/>
  <c r="AP356" i="1" s="1"/>
  <c r="AY356" i="1"/>
  <c r="V324" i="1"/>
  <c r="U324" i="1"/>
  <c r="V356" i="1" l="1"/>
  <c r="U356" i="1"/>
  <c r="AQ209" i="1" l="1"/>
  <c r="T490" i="1"/>
  <c r="AY490" i="1" s="1"/>
  <c r="AS209" i="1"/>
  <c r="AT209" i="1" s="1"/>
  <c r="T515" i="1"/>
  <c r="AS256" i="1"/>
  <c r="S256" i="1" s="1"/>
  <c r="T275" i="1"/>
  <c r="S57" i="1"/>
  <c r="T79" i="1"/>
  <c r="T56" i="1"/>
  <c r="N538" i="1"/>
  <c r="AS699" i="1"/>
  <c r="S699" i="1" s="1"/>
  <c r="AT37" i="1"/>
  <c r="R38" i="1"/>
  <c r="R17" i="1" s="1"/>
  <c r="AQ511" i="1"/>
  <c r="R511" i="1" s="1"/>
  <c r="R206" i="1"/>
  <c r="S226" i="1"/>
  <c r="R14" i="1" l="1"/>
  <c r="S511" i="1"/>
  <c r="AW511" i="1"/>
  <c r="AX256" i="1"/>
  <c r="AT256" i="1"/>
  <c r="AX699" i="1"/>
  <c r="AT699" i="1"/>
  <c r="N515" i="1"/>
  <c r="AP515" i="1" s="1"/>
  <c r="AY515" i="1"/>
  <c r="AS269" i="1"/>
  <c r="AT269" i="1" s="1"/>
  <c r="AT57" i="1"/>
  <c r="AX226" i="1"/>
  <c r="AT226" i="1"/>
  <c r="N275" i="1"/>
  <c r="AP275" i="1" s="1"/>
  <c r="AY275" i="1"/>
  <c r="N79" i="1"/>
  <c r="U538" i="1"/>
  <c r="AP538" i="1"/>
  <c r="T38" i="1"/>
  <c r="T256" i="1"/>
  <c r="T699" i="1"/>
  <c r="N490" i="1"/>
  <c r="AP490" i="1" s="1"/>
  <c r="T226" i="1"/>
  <c r="AY226" i="1" s="1"/>
  <c r="N56" i="1"/>
  <c r="T57" i="1"/>
  <c r="N57" i="1" s="1"/>
  <c r="AP56" i="1" l="1"/>
  <c r="AP57" i="1"/>
  <c r="U79" i="1"/>
  <c r="N38" i="1"/>
  <c r="A482" i="10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U515" i="1"/>
  <c r="AX511" i="1"/>
  <c r="N511" i="1"/>
  <c r="AP511" i="1" s="1"/>
  <c r="V275" i="1"/>
  <c r="N699" i="1"/>
  <c r="AP699" i="1" s="1"/>
  <c r="AY699" i="1"/>
  <c r="N256" i="1"/>
  <c r="AP256" i="1" s="1"/>
  <c r="AY256" i="1"/>
  <c r="U275" i="1"/>
  <c r="V79" i="1"/>
  <c r="AP79" i="1"/>
  <c r="V57" i="1"/>
  <c r="U57" i="1"/>
  <c r="U490" i="1"/>
  <c r="N37" i="1"/>
  <c r="V56" i="1"/>
  <c r="U56" i="1"/>
  <c r="N226" i="1"/>
  <c r="AP226" i="1" s="1"/>
  <c r="AP38" i="1" l="1"/>
  <c r="AP37" i="1"/>
  <c r="U38" i="1"/>
  <c r="V38" i="1"/>
  <c r="U256" i="1"/>
  <c r="V256" i="1"/>
  <c r="U511" i="1"/>
  <c r="U699" i="1"/>
  <c r="U37" i="1"/>
  <c r="V37" i="1"/>
  <c r="V226" i="1"/>
  <c r="U226" i="1"/>
  <c r="AT388" i="1" l="1"/>
  <c r="T388" i="1" l="1"/>
  <c r="N388" i="1" l="1"/>
  <c r="AA388" i="1" l="1"/>
  <c r="U388" i="1"/>
  <c r="V388" i="1"/>
  <c r="AP388" i="1"/>
  <c r="AD388" i="1"/>
  <c r="A207" i="1" l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T58" i="1"/>
  <c r="N58" i="1"/>
  <c r="V58" i="1" l="1"/>
  <c r="U58" i="1"/>
  <c r="AP58" i="1"/>
  <c r="S109" i="1" l="1"/>
  <c r="AT109" i="1" l="1"/>
  <c r="AS324" i="1"/>
  <c r="AT324" i="1" s="1"/>
  <c r="N109" i="1"/>
  <c r="A482" i="1" l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U109" i="1"/>
  <c r="V109" i="1"/>
  <c r="AP109" i="1"/>
  <c r="AT114" i="1" l="1"/>
  <c r="AS325" i="1"/>
  <c r="N114" i="1"/>
  <c r="U114" i="1" l="1"/>
  <c r="AP114" i="1"/>
  <c r="V114" i="1"/>
  <c r="AX325" i="1"/>
  <c r="T325" i="1"/>
  <c r="N325" i="1" s="1"/>
  <c r="AT325" i="1"/>
  <c r="AP325" i="1" l="1"/>
  <c r="U325" i="1"/>
  <c r="V325" i="1"/>
  <c r="AY325" i="1"/>
  <c r="AT72" i="1" l="1"/>
  <c r="AS574" i="1"/>
  <c r="S574" i="1" s="1"/>
  <c r="AT574" i="1" s="1"/>
  <c r="T72" i="1"/>
  <c r="AQ574" i="1"/>
  <c r="R574" i="1" s="1"/>
  <c r="N72" i="1" l="1"/>
  <c r="AW574" i="1"/>
  <c r="R481" i="1"/>
  <c r="T574" i="1"/>
  <c r="AX574" i="1"/>
  <c r="S481" i="1"/>
  <c r="AP72" i="1" l="1"/>
  <c r="U72" i="1"/>
  <c r="V72" i="1"/>
  <c r="AY574" i="1"/>
  <c r="N574" i="1"/>
  <c r="AT481" i="1"/>
  <c r="R13" i="1"/>
  <c r="U574" i="1" l="1"/>
  <c r="AP574" i="1"/>
  <c r="T100" i="1" l="1"/>
  <c r="N100" i="1" s="1"/>
  <c r="AT100" i="1"/>
  <c r="V100" i="1" l="1"/>
  <c r="AP100" i="1"/>
  <c r="U100" i="1"/>
  <c r="AT132" i="1"/>
  <c r="AS347" i="1" l="1"/>
  <c r="S347" i="1" s="1"/>
  <c r="P347" i="1" l="1"/>
  <c r="AT347" i="1"/>
  <c r="AX347" i="1"/>
  <c r="V132" i="1"/>
  <c r="U132" i="1"/>
  <c r="AU347" i="1" l="1"/>
  <c r="N347" i="1"/>
  <c r="V347" i="1" l="1"/>
  <c r="U347" i="1"/>
  <c r="AP347" i="1"/>
  <c r="AT93" i="1" l="1"/>
  <c r="N93" i="1" l="1"/>
  <c r="V93" i="1" l="1"/>
  <c r="U93" i="1"/>
  <c r="N759" i="10"/>
  <c r="N760" i="10"/>
  <c r="G759" i="10"/>
  <c r="K759" i="10"/>
  <c r="H759" i="10"/>
  <c r="I760" i="10"/>
  <c r="Q759" i="10"/>
  <c r="P759" i="10"/>
  <c r="G760" i="10"/>
  <c r="M759" i="10"/>
  <c r="M760" i="10"/>
  <c r="H760" i="10"/>
  <c r="L760" i="10"/>
  <c r="F759" i="10"/>
  <c r="AP33" i="1"/>
  <c r="I759" i="10"/>
  <c r="O760" i="10"/>
  <c r="K760" i="10"/>
  <c r="P760" i="10"/>
  <c r="R206" i="10"/>
  <c r="J760" i="10"/>
  <c r="S34" i="1"/>
  <c r="S222" i="1"/>
  <c r="S206" i="1" s="1"/>
  <c r="J759" i="10"/>
  <c r="I481" i="10"/>
  <c r="I206" i="10"/>
  <c r="I758" i="10"/>
  <c r="H481" i="10"/>
  <c r="H206" i="10"/>
  <c r="H758" i="10"/>
  <c r="G206" i="10"/>
  <c r="G758" i="10"/>
  <c r="G481" i="10"/>
  <c r="L759" i="10"/>
  <c r="N481" i="10"/>
  <c r="N206" i="10"/>
  <c r="N758" i="10"/>
  <c r="O759" i="10"/>
  <c r="R481" i="10"/>
  <c r="J206" i="10"/>
  <c r="J758" i="10"/>
  <c r="J481" i="10"/>
  <c r="P206" i="10"/>
  <c r="P758" i="10"/>
  <c r="P481" i="10"/>
  <c r="M206" i="10"/>
  <c r="M758" i="10"/>
  <c r="M481" i="10"/>
  <c r="O758" i="10"/>
  <c r="O481" i="10"/>
  <c r="O206" i="10"/>
  <c r="T488" i="1"/>
  <c r="AY488" i="1" s="1"/>
  <c r="Q760" i="10"/>
  <c r="Q758" i="10"/>
  <c r="Q481" i="10"/>
  <c r="Q206" i="10"/>
  <c r="L481" i="10"/>
  <c r="L206" i="10"/>
  <c r="L758" i="10" s="1"/>
  <c r="K481" i="10"/>
  <c r="K206" i="10"/>
  <c r="F206" i="10"/>
  <c r="F758" i="10"/>
  <c r="F481" i="10"/>
  <c r="F760" i="10"/>
  <c r="J13" i="10" l="1"/>
  <c r="AT34" i="1"/>
  <c r="S17" i="1"/>
  <c r="T481" i="1"/>
  <c r="N481" i="1" s="1"/>
  <c r="M13" i="10"/>
  <c r="L13" i="10"/>
  <c r="E760" i="10"/>
  <c r="N13" i="10"/>
  <c r="O13" i="10"/>
  <c r="Q13" i="10"/>
  <c r="E758" i="10"/>
  <c r="R758" i="10" s="1"/>
  <c r="I13" i="10"/>
  <c r="P13" i="10"/>
  <c r="G13" i="10"/>
  <c r="E481" i="10"/>
  <c r="H13" i="10"/>
  <c r="K13" i="10"/>
  <c r="E759" i="10"/>
  <c r="E206" i="10"/>
  <c r="R13" i="10"/>
  <c r="AS511" i="1"/>
  <c r="AT511" i="1" s="1"/>
  <c r="N488" i="1"/>
  <c r="AX222" i="1"/>
  <c r="K758" i="10"/>
  <c r="N222" i="1"/>
  <c r="AT222" i="1"/>
  <c r="F13" i="10"/>
  <c r="T34" i="1"/>
  <c r="T17" i="1" s="1"/>
  <c r="T14" i="1" s="1"/>
  <c r="S14" i="1" l="1"/>
  <c r="N14" i="1" s="1"/>
  <c r="N17" i="1"/>
  <c r="AP481" i="1"/>
  <c r="E761" i="10"/>
  <c r="E13" i="10"/>
  <c r="U488" i="1"/>
  <c r="AP488" i="1"/>
  <c r="AA488" i="1"/>
  <c r="AD488" i="1"/>
  <c r="V222" i="1"/>
  <c r="AP222" i="1"/>
  <c r="U222" i="1"/>
  <c r="N34" i="1"/>
  <c r="S13" i="1" l="1"/>
  <c r="AP14" i="1"/>
  <c r="U34" i="1"/>
  <c r="V34" i="1"/>
  <c r="AP34" i="1"/>
  <c r="P206" i="1" l="1"/>
  <c r="T242" i="1"/>
  <c r="T206" i="1" s="1"/>
  <c r="T13" i="1" s="1"/>
  <c r="AT206" i="1" l="1"/>
  <c r="N242" i="1"/>
  <c r="N206" i="1"/>
  <c r="P13" i="1"/>
  <c r="AP206" i="1" l="1"/>
  <c r="N13" i="1"/>
  <c r="U242" i="1"/>
  <c r="V242" i="1"/>
  <c r="AP242" i="1"/>
</calcChain>
</file>

<file path=xl/comments1.xml><?xml version="1.0" encoding="utf-8"?>
<comments xmlns="http://schemas.openxmlformats.org/spreadsheetml/2006/main">
  <authors>
    <author>НамыловЮИ</author>
  </authors>
  <commentList>
    <comment ref="P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убрать полностью
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полностью убрать</t>
        </r>
      </text>
    </comment>
  </commentList>
</comments>
</file>

<file path=xl/sharedStrings.xml><?xml version="1.0" encoding="utf-8"?>
<sst xmlns="http://schemas.openxmlformats.org/spreadsheetml/2006/main" count="4257" uniqueCount="777">
  <si>
    <t>Приложение № 1 к приказу</t>
  </si>
  <si>
    <t>№ п/п</t>
  </si>
  <si>
    <t>Наименование муниципального образования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</si>
  <si>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</si>
  <si>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</si>
  <si>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</si>
  <si>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</si>
  <si>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</si>
  <si>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</si>
  <si>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в МКД</t>
  </si>
  <si>
    <t>Количество жителей</t>
  </si>
  <si>
    <t>Стоимость капитального ремонта с разбивкой по источникам финансирования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</si>
  <si>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</si>
  <si>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</si>
  <si>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Сроки проведения работ по капитальному ремонту</t>
  </si>
  <si>
    <t>Стоимость капитального ремонта, всего</t>
  </si>
  <si>
    <t>Ввода в эксплуатацию</t>
  </si>
  <si>
    <t>Последнего капитального ремонта</t>
  </si>
  <si>
    <t>в том числе жилых помещений (квартир)</t>
  </si>
  <si>
    <t>в том числе нежилых помещений</t>
  </si>
  <si>
    <t>Всего</t>
  </si>
  <si>
    <t>в том числе</t>
  </si>
  <si>
    <t xml:space="preserve">Ремонт внутридомовых инженерных систем
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</si>
  <si>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</si>
  <si>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</si>
  <si>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</si>
  <si>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</si>
  <si>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</si>
  <si>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За счет федеральных средств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</si>
  <si>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</si>
  <si>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</si>
  <si>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</si>
  <si>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</si>
  <si>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</si>
  <si>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</si>
  <si>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</si>
  <si>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</si>
  <si>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</si>
  <si>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</si>
  <si>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кв.м</t>
  </si>
  <si>
    <t>чел</t>
  </si>
  <si>
    <t>руб</t>
  </si>
  <si>
    <t>руб/кв.м</t>
  </si>
  <si>
    <t>Камень</t>
  </si>
  <si>
    <t>ГО "Жатай"</t>
  </si>
  <si>
    <t>МО "Город Ленск"</t>
  </si>
  <si>
    <t>МО "Город Мирный"</t>
  </si>
  <si>
    <t>Дерево</t>
  </si>
  <si>
    <t>ГП "Поселок Беркакит"</t>
  </si>
  <si>
    <t>ГП "Поселок Золотинка"</t>
  </si>
  <si>
    <t>ГП "Поселок Чульман"</t>
  </si>
  <si>
    <t>ГО "город Якутск"</t>
  </si>
  <si>
    <t>МО "Город Алдан"</t>
  </si>
  <si>
    <t>МО "Поселок Ленинский"</t>
  </si>
  <si>
    <t>МО "Поселок Нижний Куранах"</t>
  </si>
  <si>
    <t>МО "Поселок Зырянка"</t>
  </si>
  <si>
    <t>МО "Поселок Айхал"</t>
  </si>
  <si>
    <t>МО "Поселок Светлый"</t>
  </si>
  <si>
    <t>МО "Поселок Чернышевский"</t>
  </si>
  <si>
    <t>МО "Город Нюрба"</t>
  </si>
  <si>
    <t>МО "Поселок Эльдикан"</t>
  </si>
  <si>
    <t>МО "Город Покровск"</t>
  </si>
  <si>
    <t>МО "Поселок Мохсоголлох"</t>
  </si>
  <si>
    <t>МО "Город Томмот"</t>
  </si>
  <si>
    <t>МО "Поселок Тикси"</t>
  </si>
  <si>
    <t>МО "Угольнинский наслег"</t>
  </si>
  <si>
    <t>МО "поселок Черский"</t>
  </si>
  <si>
    <t>МО "Город Олекминск"</t>
  </si>
  <si>
    <t>МО "Поселок Хандыга"</t>
  </si>
  <si>
    <t>МО "Петропавловский национальный наслег"</t>
  </si>
  <si>
    <t>ГП "Поселок Серебряный Бор"</t>
  </si>
  <si>
    <t>МО "Поселок Солнечный"</t>
  </si>
  <si>
    <t>МО "Ленский наслег"</t>
  </si>
  <si>
    <t>МО "Чурапчинский наслег"</t>
  </si>
  <si>
    <t>Приложение № 2 к приказу</t>
  </si>
  <si>
    <t>Разработка проектной документациина проведение капитального ремонта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</si>
  <si>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</si>
  <si>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Виды работ, установленные ч.1 ст.19 Закона Республики Саха (Якутия) от 24.6.213 года 121-З №1329-IV "Об организации проведения капитального ремонта общего имущества в многоквартирных домах на территории Республики Саха (Якутия)"</t>
  </si>
  <si>
    <t>МО "поселок Депутатский" спецсчет</t>
  </si>
  <si>
    <t>-</t>
  </si>
  <si>
    <t>Ремонт, замена, модернизация лифтов, ремонт лифтовых шахт, машинных и блочных помещений</t>
  </si>
  <si>
    <t>МО "Город Нерюнгри"</t>
  </si>
  <si>
    <t>МО "Город Нерюнгри" спецсчет</t>
  </si>
  <si>
    <t>Панельный</t>
  </si>
  <si>
    <t>проверить СС Алекесеева ЕИ</t>
  </si>
  <si>
    <t>проверить СС Алексеева ЕИ</t>
  </si>
  <si>
    <t>проверить заимств Алексеева ЕИ</t>
  </si>
  <si>
    <t>Проверить ЗС Алексеева ЕИ</t>
  </si>
  <si>
    <t>Проведение
строительного
контроля
(технического
надзора)</t>
  </si>
  <si>
    <t>лан</t>
  </si>
  <si>
    <t>2022 год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</si>
  <si>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видам работ</t>
  </si>
  <si>
    <t>ГО "Город Якутск"</t>
  </si>
  <si>
    <t>1996</t>
  </si>
  <si>
    <t>9</t>
  </si>
  <si>
    <t>2</t>
  </si>
  <si>
    <t>8</t>
  </si>
  <si>
    <t>3</t>
  </si>
  <si>
    <t>1</t>
  </si>
  <si>
    <t>1994</t>
  </si>
  <si>
    <t>1990</t>
  </si>
  <si>
    <t>4</t>
  </si>
  <si>
    <t>1992</t>
  </si>
  <si>
    <t>1991</t>
  </si>
  <si>
    <t>5</t>
  </si>
  <si>
    <t>6</t>
  </si>
  <si>
    <t>1979</t>
  </si>
  <si>
    <t>1981</t>
  </si>
  <si>
    <t>1982</t>
  </si>
  <si>
    <t>1983</t>
  </si>
  <si>
    <t>1976</t>
  </si>
  <si>
    <t>1970</t>
  </si>
  <si>
    <t>1973</t>
  </si>
  <si>
    <t>1974</t>
  </si>
  <si>
    <t>МО "ГП "Поселок Хани""</t>
  </si>
  <si>
    <t>1987</t>
  </si>
  <si>
    <t>1988</t>
  </si>
  <si>
    <t>1989</t>
  </si>
  <si>
    <t>1993</t>
  </si>
  <si>
    <t>г. Якутск, ул. Чернышевского, д. 8</t>
  </si>
  <si>
    <t>1971</t>
  </si>
  <si>
    <t>1975</t>
  </si>
  <si>
    <t>1999</t>
  </si>
  <si>
    <t>1978</t>
  </si>
  <si>
    <t>1997</t>
  </si>
  <si>
    <t>1998</t>
  </si>
  <si>
    <t>7</t>
  </si>
  <si>
    <t>1963</t>
  </si>
  <si>
    <t>ГО "Город Якутск" спецсчет</t>
  </si>
  <si>
    <t>1985</t>
  </si>
  <si>
    <t>1972</t>
  </si>
  <si>
    <t>1995</t>
  </si>
  <si>
    <t>МО "Поселок Усть-Нера"</t>
  </si>
  <si>
    <t>ГП "Город Покровск"</t>
  </si>
  <si>
    <t>СП "Немюгюнский наслег"</t>
  </si>
  <si>
    <t>1986</t>
  </si>
  <si>
    <t>ГП "Город Нерюнгри" спецсчет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</si>
  <si>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источникам финансирования</t>
  </si>
  <si>
    <t>СС</t>
  </si>
  <si>
    <t>ССг*0,8</t>
  </si>
  <si>
    <t>ЗС</t>
  </si>
  <si>
    <t>Иные источники</t>
  </si>
  <si>
    <t>ГО "город Якутск" спецсчет</t>
  </si>
  <si>
    <t>исключить, нет КЭ в РПКР</t>
  </si>
  <si>
    <t>перенос на 2022?</t>
  </si>
  <si>
    <t>перенос на 2023</t>
  </si>
  <si>
    <t>перенос на 2023 служебка ПТО  Осипова</t>
  </si>
  <si>
    <t>Служебка Давыдов перенос с 2023г</t>
  </si>
  <si>
    <t>перенос на 2022 с 2023 Осипова служебка</t>
  </si>
  <si>
    <t>перенос на 2022 с 2023 служебка ПТО  Осипова</t>
  </si>
  <si>
    <t>перенос на 2022 с 2024 служебка ПТО  Осипова</t>
  </si>
  <si>
    <t>техошибка пропущенные</t>
  </si>
  <si>
    <t>частично перемещены виды работ</t>
  </si>
  <si>
    <t>аполностью МКД перешел на др год</t>
  </si>
  <si>
    <t xml:space="preserve">                                                                                                                                                                      </t>
  </si>
  <si>
    <t>отредактировано согласно договору подряда</t>
  </si>
  <si>
    <t>2011</t>
  </si>
  <si>
    <t>2013</t>
  </si>
  <si>
    <t>МО "Мюрюнский наслег"</t>
  </si>
  <si>
    <t>Служебка ПТО Даввыдов</t>
  </si>
  <si>
    <t>перенос с 2025г служебка Осипова</t>
  </si>
  <si>
    <t>Ленский у, г. Ленск, ул. Ленина, д. 66</t>
  </si>
  <si>
    <t>1977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</si>
  <si>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</si>
  <si>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</si>
  <si>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</si>
  <si>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</si>
  <si>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</si>
  <si>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Булунский у, п. Тикси, ул. Трусова, д. 2</t>
  </si>
  <si>
    <t>Булунский у, п. Тикси, ул. Трусова, д. 9</t>
  </si>
  <si>
    <t>Верхнеколымский у, п. Зырянка, ул. Стадухина, д. 7</t>
  </si>
  <si>
    <t>г. Якутск, ул. Кальвица, д. 5</t>
  </si>
  <si>
    <t>г. Якутск, ул. Крупской, д. 21</t>
  </si>
  <si>
    <t>г. Якутск, ул. Орджоникидзе, д. 33</t>
  </si>
  <si>
    <t>Мирнинский у, г. Мирный, ул. Комсомольская, д. 25</t>
  </si>
  <si>
    <t>Мирнинский у, г. Мирный, ул. Комсомольская, д. 29</t>
  </si>
  <si>
    <t>Мирнинский у, г. Мирный, ул. Ленина, д. 10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</si>
  <si>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</si>
  <si>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</si>
  <si>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21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</si>
  <si>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</si>
  <si>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</si>
  <si>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</si>
  <si>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</si>
  <si>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</si>
  <si>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</si>
  <si>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</si>
  <si>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</si>
  <si>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</si>
  <si>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</si>
  <si>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</si>
  <si>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8</t>
  </si>
  <si>
    <t>Мирнинский у, г. Мирный, ул. Советская, д. 14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</si>
  <si>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</si>
  <si>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</si>
  <si>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</si>
  <si>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12</t>
  </si>
  <si>
    <t>г. Нерюнгри, ул. Карла Маркса, д. 16</t>
  </si>
  <si>
    <t>г. Нерюнгри, ул. Карла Маркса, д. 27</t>
  </si>
  <si>
    <t>г. Нерюнгри, ул. Новостроевская, д. 3</t>
  </si>
  <si>
    <t>г. Нерюнгри, ул. Новостроевская, д. 5</t>
  </si>
  <si>
    <t>г. Нерюнгри, ул. Сосновая, д. 4</t>
  </si>
  <si>
    <t>г. Нерюнгри, ул. Тимптонская, д. 3</t>
  </si>
  <si>
    <t>г. Нерюнгри, ул. Чурапчинская, д. 40</t>
  </si>
  <si>
    <t>г. Нерюнгри, ул. Чурапчинская, д. 46</t>
  </si>
  <si>
    <t>г. Нерюнгри, ул. Южно-Якутская, д. 30</t>
  </si>
  <si>
    <t>Хангаласский у, г. Покровск, ул. Таежная, д. 2</t>
  </si>
  <si>
    <t>Хангаласский у, п. Мохсоголлох, ул. Соколиная, д. 1</t>
  </si>
  <si>
    <t>Хангаласский у, п. Мохсоголлох, ул. Соколиная, д. 7</t>
  </si>
  <si>
    <t>Хангаласский у, п. Мохсоголлох, ул. Соколиная, д. 9</t>
  </si>
  <si>
    <t>Хангаласский у, п. Мохсоголлох, ул. Соколиная, д. 17</t>
  </si>
  <si>
    <t>Хангаласский у, п. Мохсоголлох, ул. Соколиная, д. 19</t>
  </si>
  <si>
    <t>Алданский у, п. Нижний Куранах, ул. Строительная, д. 7</t>
  </si>
  <si>
    <t>Алданский у, п. Нижний Куранах, ул. Строительная, д. 9</t>
  </si>
  <si>
    <t>Булунский у, п. Тикси, ул. Ленинская, д. 27</t>
  </si>
  <si>
    <t>Булунский у, п. Тикси, ул. Морская, д. 18</t>
  </si>
  <si>
    <t>г. Якутск, ул. Каландаришвили, д. 40</t>
  </si>
  <si>
    <t>г. Якутск, ул. Кулаковского, д. 30</t>
  </si>
  <si>
    <t>г. Якутск, ул. Орджоникидзе, д. 44</t>
  </si>
  <si>
    <t>г. Якутск, ул. Стадухина, д. 86</t>
  </si>
  <si>
    <t>г. Якутск, мкр. Кангалассы, ул. 26 партсъезда, д. 2</t>
  </si>
  <si>
    <t>Ленский у, г. Ленск, ул. Дзержинского, д. 15</t>
  </si>
  <si>
    <t>Мирнинский у, г. Мирный, ул. Советская, д. 7</t>
  </si>
  <si>
    <t>Намский у, Ленский н-г, с. Намцы, ул. Ржевская, д. 5</t>
  </si>
  <si>
    <t>г. Нерюнгри, ул. Аммосова, д. 4</t>
  </si>
  <si>
    <t>г. Нерюнгри, ул. Аммосова, д. 12</t>
  </si>
  <si>
    <t>г. Нерюнгри, ул. им Кравченко, д. 25</t>
  </si>
  <si>
    <t>г. Нерюнгри, ул. Карла Маркса, д. 20</t>
  </si>
  <si>
    <t>г. Нерюнгри, ул. Чурапчинская, д. 39</t>
  </si>
  <si>
    <t>Хангаласский у, п. Мохсоголлох, ул. Молодежная, д. 18</t>
  </si>
  <si>
    <t>Хангаласский у, п. Мохсоголлох, ул. Соколиная, д. 5</t>
  </si>
  <si>
    <t>Алданский у, п. Нижний Куранах, мкр. 1-й, д. 10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</si>
  <si>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</si>
  <si>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>Мирнинский у, г. Мирный, ул. Ленина, д. 23</t>
  </si>
  <si>
    <t>Кредиторская задолженность за 2021 год</t>
  </si>
  <si>
    <t>г. Якутск, ул. Стадухина, д. 80</t>
  </si>
  <si>
    <t>г. Якутск, ул. Орджоникидзе, д. 46</t>
  </si>
  <si>
    <t>г. Якутск, ул. Кузьмина, д. 34</t>
  </si>
  <si>
    <t>г. Якутск, ул. Ново-Карьерная, д. 20, корп. 1</t>
  </si>
  <si>
    <t>Министерства ЖКХ и энергетики РС(Я)</t>
  </si>
  <si>
    <t>изменения АЕИ</t>
  </si>
  <si>
    <t>по РПКР перенос на 25-27</t>
  </si>
  <si>
    <t>все СС сделать!НЮИ</t>
  </si>
  <si>
    <t>добавить КЭ согласно РПКР ПП800</t>
  </si>
  <si>
    <t>техошибка включить фасад по РПКР 800</t>
  </si>
  <si>
    <t>техошибка включить лифт по РПКР800</t>
  </si>
  <si>
    <t>техошибка включить эл водоотв фунд по РПКР800</t>
  </si>
  <si>
    <t>г. Якутск, мкр. Кангалассы, ул. Комсомольская, д. 3А</t>
  </si>
  <si>
    <t>г. Якутск, ул. Орджоникидзе, д. 44, корп. 1</t>
  </si>
  <si>
    <t>2180/900 письмо об аварий</t>
  </si>
  <si>
    <t>отмостка фунд дб в 23г</t>
  </si>
  <si>
    <t>входные группы аукцион в 23 г</t>
  </si>
  <si>
    <t>стык +2 млн фасада должен быть</t>
  </si>
  <si>
    <t>СК за ГБ и ЗС, ПСД СС</t>
  </si>
  <si>
    <t>ПСД за ГБ</t>
  </si>
  <si>
    <t>ПСД и СК за ГБ</t>
  </si>
  <si>
    <t>2022-2024 г.г.</t>
  </si>
  <si>
    <t>корректировка по ГБ по оплатам 2023 г</t>
  </si>
  <si>
    <t>Авансы северным районам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</si>
  <si>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</si>
  <si>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</si>
  <si>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п Золотинка, п. Золотинка (г Нерюнгри), ул. Железнодорожная, д. 2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</si>
  <si>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</si>
  <si>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</si>
  <si>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п Золотинка, п. Золотинка (г Нерюнгри), ул. Железнодорожная, д. 1</t>
  </si>
  <si>
    <t>п. Серебряный Бор, (г Нерюнгри), д. 120</t>
  </si>
  <si>
    <t>п. Серебряный Бор, (г Нерюнгри), д. 14</t>
  </si>
  <si>
    <t>п. Серебряный Бор, (г Нерюнгри), д. 208</t>
  </si>
  <si>
    <t>п. Серебряный Бор, (г Нерюнгри), д. 118</t>
  </si>
  <si>
    <t>п. Чульман (г Нерюнгри), ул. Островского, д. 18б</t>
  </si>
  <si>
    <t>п. Чульман (г Нерюнгри), ул. Островского, д. 12</t>
  </si>
  <si>
    <t>п. Чульман (г Нерюнгри), ул. Островского, д. 6, корп. а</t>
  </si>
  <si>
    <t>п. Чульман (г Нерюнгри), ул. Школьная, д. 12</t>
  </si>
  <si>
    <t>п. Чульман (г Нерюнгри), ул. Новая, д. 2</t>
  </si>
  <si>
    <t>п. Чульман (г Нерюнгри), ул. Первомайская, д. 11</t>
  </si>
  <si>
    <t>п. Чульман (г Нерюнгри), ул. Советская, д. 79</t>
  </si>
  <si>
    <t>г. Нерюнгри, пр-кт. Геологов, д. 43</t>
  </si>
  <si>
    <t>г. Нерюнгри, пр-кт. Геологов, д. 49, корп. 1</t>
  </si>
  <si>
    <t>г. Нерюнгри, пр-кт. Геологов, д. 81, корп. 2 СПЕЦСЧЕТ</t>
  </si>
  <si>
    <t>г. Нерюнгри, пр-кт. Дружбы Народов, д. 16, корп. 1</t>
  </si>
  <si>
    <t>г. Нерюнгри, пр-кт. Дружбы Народов, д. 20</t>
  </si>
  <si>
    <t>г. Нерюнгри, пр-кт. Дружбы Народов, д. 29, корп. 1</t>
  </si>
  <si>
    <t>г. Нерюнгри, пр-кт. Дружбы Народов, д. 3, корп. 1 СПЕЦСЧЕТ</t>
  </si>
  <si>
    <t>г. Нерюнгри, пр-кт. Ленина, д. 4</t>
  </si>
  <si>
    <t>г. Нерюнгри, пр-кт. Мира, д. 15</t>
  </si>
  <si>
    <t>г. Нерюнгри, пр-кт. Мира, д. 15, корп. 2</t>
  </si>
  <si>
    <t>г. Нерюнгри, пр-кт. Мира, д. 15, корп. 3</t>
  </si>
  <si>
    <t>г. Нерюнгри, пр-кт. Мира, д. 17, корп. 1</t>
  </si>
  <si>
    <t>г. Нерюнгри, пр-кт. Мира, д. 19, корп. 1</t>
  </si>
  <si>
    <t>г. Нерюнгри, пр-кт. Мира, д. 19, корп. 2</t>
  </si>
  <si>
    <t>г. Нерюнгри, пр-кт. Мира, д. 5 СПЕЦСЧЕТ</t>
  </si>
  <si>
    <t>г. Нерюнгри, ул. Аммосова, д. 10, корп. 1</t>
  </si>
  <si>
    <t>г. Нерюнгри, ул. Аммосова, д. 2 СПЕЦСЧЕТ</t>
  </si>
  <si>
    <t>г. Нерюнгри, ул. Аммосова, д. 6, корп. 1</t>
  </si>
  <si>
    <t>г. Нерюнгри, ул. им Кравченко, д. 20, корп. 1</t>
  </si>
  <si>
    <t>г. Нерюнгри, ул. Карла Маркса, д. 1, корп. 1</t>
  </si>
  <si>
    <t>г. Нерюнгри, ул. Южно-Якутская, д. 32</t>
  </si>
  <si>
    <t>г. Нерюнгри, ул. Южно-Якутская, д. 43, корп. 1 СПЕЦСЧЕТ</t>
  </si>
  <si>
    <t>г. Нерюнгри, пр-кт. Геологов, д. 55, корп. 2</t>
  </si>
  <si>
    <t>г. Нерюнгри, пр-кт. Геологов, д. 59</t>
  </si>
  <si>
    <t>г. Нерюнгри, пр-кт. Геологов, д. 75, корп. 2</t>
  </si>
  <si>
    <t>г. Нерюнгри, пр-кт. Геологов, д. 61</t>
  </si>
  <si>
    <t>г. Нерюнгри, пр-кт. Дружбы Народов, д. 25, корп. 2</t>
  </si>
  <si>
    <t>г. Нерюнгри, пр-кт. Дружбы Народов, д. 33</t>
  </si>
  <si>
    <t>г. Нерюнгри, пр-кт. Дружбы Народов, д. 5</t>
  </si>
  <si>
    <t>г. Нерюнгри, пр-кт. Мира, д. 21, корп. 1</t>
  </si>
  <si>
    <t>г. Нерюнгри, пр-кт. Мира, д. 21, корп. 2</t>
  </si>
  <si>
    <t>г. Нерюнгри, ул. Аммосова, д. 14, корп. 1</t>
  </si>
  <si>
    <t>г. Нерюнгри, ул. Тимптонская, д. 7, корп. 2</t>
  </si>
  <si>
    <t>г. Нерюнгри, ул. Чурапчинская, д. 8, корп. 1</t>
  </si>
  <si>
    <t>г. Нерюнгри, ул. Чурапчинская, д. 36</t>
  </si>
  <si>
    <t>г. Нерюнгри, ул. Чурапчинская, д. 38</t>
  </si>
  <si>
    <t>г. Нерюнгри, ул. Южно-Якутская, д. 31</t>
  </si>
  <si>
    <t>г. Нерюнгри, ул. Южно-Якутская, д. 31, корп. 1</t>
  </si>
  <si>
    <t>г. Нерюнгри, ул. Южно-Якутская, д. 34</t>
  </si>
  <si>
    <t>г. Нерюнгри, ул. Южно-Якутская, д. 40</t>
  </si>
  <si>
    <t>г. Нерюнгри, ул. Южно-Якутская, д. 42</t>
  </si>
  <si>
    <t>г. Нерюнгри, пр-кт. Ленина, д. 15</t>
  </si>
  <si>
    <t>г. Нерюнгри, ул. Аммосова, д. 14</t>
  </si>
  <si>
    <t>г. Нерюнгри, ул. Карла Маркса, д. 27, корп. 2</t>
  </si>
  <si>
    <t>г. Нерюнгри, ул. Карла Маркса, д. 25</t>
  </si>
  <si>
    <t>г. Нерюнгри, пр-кт. Геологов, д. 61, корп. 2</t>
  </si>
  <si>
    <t>г. Нерюнгри, пр-кт. Дружбы Народов, д. 8</t>
  </si>
  <si>
    <t>г. Нерюнгри, пр-кт. Дружбы Народов, д. 10</t>
  </si>
  <si>
    <t>г. Нерюнгри, пр-кт. Дружбы Народов, д. 10, корп. 1</t>
  </si>
  <si>
    <t>г. Нерюнгри, пр-кт. Дружбы Народов, д. 10, корп. 2</t>
  </si>
  <si>
    <t>г. Нерюнгри, пр-кт. Дружбы Народов, д. 14, корп. 1</t>
  </si>
  <si>
    <t>г. Нерюнгри, пр-кт. Дружбы Народов, д. 17</t>
  </si>
  <si>
    <t>г. Нерюнгри, пр-кт. Дружбы Народов, д. 20, корп. 1</t>
  </si>
  <si>
    <t>г. Нерюнгри, пр-кт. Дружбы Народов, д. 27, корп. 2</t>
  </si>
  <si>
    <t>г. Нерюнгри, пр-кт. Дружбы Народов, д. 29</t>
  </si>
  <si>
    <t>г. Нерюнгри, пр-кт. Дружбы Народов, д. 29, корп. 2</t>
  </si>
  <si>
    <t>г. Нерюнгри, пр-кт. Дружбы Народов, д. 29, корп. 3</t>
  </si>
  <si>
    <t>г. Нерюнгри, пр-кт. Ленина, д. 7</t>
  </si>
  <si>
    <t>г. Нерюнгри, пр-кт. Дружбы Народов, д. 8, корп. 1</t>
  </si>
  <si>
    <t>г. Нерюнгри, пр-кт. Ленина, д. 1</t>
  </si>
  <si>
    <t>г. Нерюнгри, пр-кт. Ленина, д. 16, корп. 2</t>
  </si>
  <si>
    <t>г. Нерюнгри, пр-кт. Ленина, д. 21, корп. 1</t>
  </si>
  <si>
    <t>г. Нерюнгри, пр-кт. Ленина, д. 25, корп. 1</t>
  </si>
  <si>
    <t>г. Нерюнгри, пр-кт. Мира, д. 25, корп. 1</t>
  </si>
  <si>
    <t>г. Нерюнгри, пр-кт. Мира, д. 3</t>
  </si>
  <si>
    <t>г. Нерюнгри, пр-кт. Мира, д. 3, корп. 1</t>
  </si>
  <si>
    <t>г. Нерюнгри, пр-кт. Мира, д. 31</t>
  </si>
  <si>
    <t>г. Нерюнгри, ул. Аммосова, д. 10</t>
  </si>
  <si>
    <t>г. Нерюнгри, ул. Аммосова, д. 8, корп. 2</t>
  </si>
  <si>
    <t>г. Нерюнгри, ул. им Кравченко, д. 17, корп. 2</t>
  </si>
  <si>
    <t>г. Нерюнгри, ул. им Кравченко, д. 18</t>
  </si>
  <si>
    <t>г. Нерюнгри, ул. им Кравченко, д. 19, корп. 3</t>
  </si>
  <si>
    <t>г. Нерюнгри, ул. им Кравченко, д. 3</t>
  </si>
  <si>
    <t>г. Нерюнгри, ул. им Кравченко, д. 9, корп. 1</t>
  </si>
  <si>
    <t>г. Нерюнгри, ул. Карла Маркса, д. 14 СПЕЦСЧЕТ</t>
  </si>
  <si>
    <t>г. Нерюнгри, ул. Карла Маркса, д. 19, корп. 1</t>
  </si>
  <si>
    <t>г. Нерюнгри, ул. Карла Маркса, д. 25, корп. 1</t>
  </si>
  <si>
    <t>г. Нерюнгри, ул. Карла Маркса, д. 29, корп. 1</t>
  </si>
  <si>
    <t>г. Нерюнгри, ул. Лужников, д. 3</t>
  </si>
  <si>
    <t>г. Нерюнгри, ул. Лужников, д. 3, корп. 1</t>
  </si>
  <si>
    <t>г. Нерюнгри, ул. Строителей, д. 3</t>
  </si>
  <si>
    <t>г. Нерюнгри, ул. Тимптонская, д. 1</t>
  </si>
  <si>
    <t>г. Нерюнгри, ул. Платона Ойунского, д. 2</t>
  </si>
  <si>
    <t>г. Нерюнгри, ул. Платона Ойунского, д. 3</t>
  </si>
  <si>
    <t>г. Нерюнгри, ул. Тимптонская, д. 3, корп. 1</t>
  </si>
  <si>
    <t>г. Нерюнгри, ул. Тимптонская, д. 7, корп. 1</t>
  </si>
  <si>
    <t>г. Нерюнгри, ул. Чурапчинская, д. 37, корп. 2</t>
  </si>
  <si>
    <t>г. Нерюнгри, ул. Чурапчинская, д. 50</t>
  </si>
  <si>
    <t>г. Нерюнгри, ул. Чурапчинская, д. 54</t>
  </si>
  <si>
    <t>г. Нерюнгри, ул. Южно-Якутская, д. 25, корп. 1</t>
  </si>
  <si>
    <t>г. Нерюнгри, ул. Южно-Якутская, д. 35</t>
  </si>
  <si>
    <t>г. Нерюнгри, ул. Южно-Якутская, д. 36, корп. 3</t>
  </si>
  <si>
    <t>г. Нерюнгри, ул. Южно-Якутская, д. 41</t>
  </si>
  <si>
    <t>г. Нерюнгри, ул. Южно-Якутская, д. 43</t>
  </si>
  <si>
    <t>г. Нерюнгри, пр-кт Дружбы Народов, д. 9</t>
  </si>
  <si>
    <t>п. Беркакит (г Нерюнгри), ул. Дорожников, д. 4</t>
  </si>
  <si>
    <t>п. Беркакит (г Нерюнгри), ул. Башарина, д. 3</t>
  </si>
  <si>
    <t>п. Беркакит (г Нерюнгри), ул. Бочкарева, д. 4, корп. 1</t>
  </si>
  <si>
    <t>п. Беркакит (г Нерюнгри), ул. Бочкарева, д. 4, корп. 2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</si>
  <si>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</si>
  <si>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</si>
  <si>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Мусы Джалиля, д. 3</t>
  </si>
  <si>
    <t>п. Беркакит (г Нерюнгри), ул. Мусы Джалиля, д. 5</t>
  </si>
  <si>
    <t>г. Якутск, мкр. Марха, кв-л. Мелиораторов, д. 9</t>
  </si>
  <si>
    <t>г. Якутск, мкр. Марха, ул. Есенина, д. 5, корп. 1</t>
  </si>
  <si>
    <t>г. Якутск, мкр. Марха, ул. Маганский тракт 2 км, д. 3</t>
  </si>
  <si>
    <t>г. Якутск, мкр. Марха, ул. О.Кошевого, д. 67, корп. 1</t>
  </si>
  <si>
    <t>г. Якутск, мкр. Птицефабрика, д. 7</t>
  </si>
  <si>
    <t>г. Якутск, мкр. Марха, ул. Маганский тракт 2 км, д. 2</t>
  </si>
  <si>
    <t>г. Якутск, с. Кильдямцы, ул. Уваровского, д. 1</t>
  </si>
  <si>
    <t>г. Якутск, с. Кильдямцы, ул. Труда, д. 52</t>
  </si>
  <si>
    <t>г. Якутск, с. Кильдямцы, ул. Труда, д. 54</t>
  </si>
  <si>
    <t>г. Якутск, пр-кт. Ленина, д. 11, корп. 2</t>
  </si>
  <si>
    <t>г. Якутск, пр-кт. Ленина, д. 7</t>
  </si>
  <si>
    <t>г. Якутск, пр-кт. Ленина, д. 9</t>
  </si>
  <si>
    <t>г. Якутск, пр-кт Ленина, д. 25</t>
  </si>
  <si>
    <t>г. Якутск, пр-кт Ленина, д. 29</t>
  </si>
  <si>
    <t>г. Якутск, пр-кт. Ленина, д. 37</t>
  </si>
  <si>
    <t>г. Якутск, пр-кт. Ленина, д. 38</t>
  </si>
  <si>
    <t>г. Якутск, пр-кт. Ленина, д. 44</t>
  </si>
  <si>
    <t>г. Якутск, ул. Автодорожная, д. 40, корп. 5</t>
  </si>
  <si>
    <t>г. Якутск, ул. Автодорожная, д. 40, корп. 6</t>
  </si>
  <si>
    <t>г. Якутск, ул. Автодорожная, д. 40, корп. 7</t>
  </si>
  <si>
    <t>г. Якутск, ул. Билибина, д. 12</t>
  </si>
  <si>
    <t>г. Якутск, ул. Богатырева, д. 11, корп. 1</t>
  </si>
  <si>
    <t>г. Якутск, ул. Дзержинского, д. 3</t>
  </si>
  <si>
    <t>г. Якутск, ул. Дзержинского, д. 8, корп. 2</t>
  </si>
  <si>
    <t>г. Якутск, ул. Каландаришвили, д. 25, корп. 2</t>
  </si>
  <si>
    <t>г. Якутск, ул. Каландаришвили, д. 38, корп. 2</t>
  </si>
  <si>
    <t>г. Якутск, ул. Каландаришвили, д. 38, корп. 3</t>
  </si>
  <si>
    <t>г. Якутск, ул. Каландаришвили, д. 40, корп. 1</t>
  </si>
  <si>
    <t>г. Якутск, ул. Каландаришвили, д. 40, корп. 4</t>
  </si>
  <si>
    <t>г. Якутск, ул. Каландаришвили, д. 40, корп. 7</t>
  </si>
  <si>
    <t>г. Якутск, ул. Каландаришвили, д. 40, корп. 8</t>
  </si>
  <si>
    <t>г. Якутск, ул. Кирова, д. 31 кор.1</t>
  </si>
  <si>
    <t>г. Якутск, ул. Короленко, д. 17</t>
  </si>
  <si>
    <t>г. Якутск, ул. Космонавтов, д. 17, корп. 1</t>
  </si>
  <si>
    <t>г. Якутск, ул. Кулаковского, д. 4, корп. 1</t>
  </si>
  <si>
    <t>г. Якутск, ул. Кулаковского, д. 4, корп. 2</t>
  </si>
  <si>
    <t>г. Якутск, ул. Кулаковского, д. 4, корп. 3</t>
  </si>
  <si>
    <t>г. Якутск, ул. Курашова, д. 1, корп. 1</t>
  </si>
  <si>
    <t>г. Якутск, ул. Лермонтова, д. 24</t>
  </si>
  <si>
    <t>г. Якутск, ул. Можайского, д. 17, корп. 5</t>
  </si>
  <si>
    <t>г. Якутск, ул. Можайского, д. 17, корп. 6</t>
  </si>
  <si>
    <t>г. Якутск, ул. Можайского, д. 19, корп. 1</t>
  </si>
  <si>
    <t>г. Якутск, ул. Можайского, д. 21</t>
  </si>
  <si>
    <t>г. Якутск, ул. Можайского, д. 21, корп. 1</t>
  </si>
  <si>
    <t>г. Якутск, ул. Октябрьская, д. 26, корп. 1</t>
  </si>
  <si>
    <t>г. Якутск, ул. Октябрьская, д. 26, корп. 2</t>
  </si>
  <si>
    <t>г. Якутск, ул. Октябрьская, д. 26, корп. 3</t>
  </si>
  <si>
    <t>г. Якутск, ул. Октябрьская, д. 5</t>
  </si>
  <si>
    <t>г. Якутск, ул. Орджоникидзе, д. 45</t>
  </si>
  <si>
    <t>г. Якутск, ул. Петра Алексеева, д. 21, корп. 5</t>
  </si>
  <si>
    <t>г. Якутск, ул. Петра Алексеева, д. 49, корп. 1</t>
  </si>
  <si>
    <t>г. Якутск, ул. Петра Алексеева, д. 6, корп. 2</t>
  </si>
  <si>
    <t>г. Якутск, ул. Петра Алексеева, д. 8, корп. 1</t>
  </si>
  <si>
    <t>г. Якутск, ул. Петра Алексеева, д. 81, корп. 1</t>
  </si>
  <si>
    <t>г. Якутск, ул. Петра Алексеева, д. 83, корп. 18</t>
  </si>
  <si>
    <t>г. Якутск, ул. Петровского, д. 21, корп. 1</t>
  </si>
  <si>
    <t>г. Якутск, ул. Петровского, д. 23</t>
  </si>
  <si>
    <t>г. Якутск, ул. Петровского, д. 23, корп. 1</t>
  </si>
  <si>
    <t>г. Якутск, ул. Пояркова, д. 10</t>
  </si>
  <si>
    <t>г. Якутск, ул. Сосновая, д. 2</t>
  </si>
  <si>
    <t>г. Якутск, ул. Хабарова, д. 21</t>
  </si>
  <si>
    <t>г. Якутск, ул. Хабарова, д. 27</t>
  </si>
  <si>
    <t>г. Якутск, ул. Халтурина, д. 11, корп. 2</t>
  </si>
  <si>
    <t>г. Якутск, ул. Чернышевского, д. 12, корп. 1</t>
  </si>
  <si>
    <t>г. Якутск, ул. Чернышевского, д. 4, корп. 1</t>
  </si>
  <si>
    <t>г. Якутск, ул. Чернышевского, д. 8, корп. 1</t>
  </si>
  <si>
    <t>г. Якутск, ул. Чиряева, д. 4</t>
  </si>
  <si>
    <t>г. Якутск, ул. Чиряева, д. 8</t>
  </si>
  <si>
    <t>г. Якутск, ул. Ярославского, д. 11</t>
  </si>
  <si>
    <t>г. Якутск, ул. Ярославского, д. 24</t>
  </si>
  <si>
    <t>г. Якутск, ул. Ярославского, д. 30, корп. 1</t>
  </si>
  <si>
    <t>г. Якутск, ул. Ярославского, д. 5, корп. 1</t>
  </si>
  <si>
    <t>г. Якутск, ул. Ярославского, д. 7, корп. 1</t>
  </si>
  <si>
    <t>г. Якутск, ул. Ярославского, д. 9</t>
  </si>
  <si>
    <t>г. Якутск, ул. Стадухина, д. 84, корп. 1 ЧС</t>
  </si>
  <si>
    <t>г. Якутск, пр-кт. Ленина, д. 21</t>
  </si>
  <si>
    <t>г. Якутск, пр-кт. Ленина, д. 36</t>
  </si>
  <si>
    <t>г. Якутск, ул. Горького, д. 92</t>
  </si>
  <si>
    <t>г. Якутск, ул. Горького, д. 98</t>
  </si>
  <si>
    <t>г. Якутск, ул. Дзержинского, д. 13, корп. 1</t>
  </si>
  <si>
    <t>г. Якутск, ул. Дзержинского, д. 15</t>
  </si>
  <si>
    <t>г. Якутск, ул. Дзержинского, д. 15 кор.1</t>
  </si>
  <si>
    <t>г. Якутск, ул. Дзержинского, д. 19</t>
  </si>
  <si>
    <t>г. Якутск, ул. Дзержинского, д. 20, корп. 1</t>
  </si>
  <si>
    <t>г. Якутск, ул. Дзержинского, д. 7, корп. 1</t>
  </si>
  <si>
    <t>г. Якутск, ул. Дзержинского, д. 8, корп. 3</t>
  </si>
  <si>
    <t>г. Якутск, ул. Каландаришвили, д. 40, корп. 5</t>
  </si>
  <si>
    <t>г. Якутск, ул. Каландаришвили, д. 40, корп. 6</t>
  </si>
  <si>
    <t>г. Якутск, ул. Лермонтова, д. 20</t>
  </si>
  <si>
    <t>г. Якутск, ул. Лермонтова, д. 22</t>
  </si>
  <si>
    <t>г. Якутск, ул. Лермонтова, д. 29</t>
  </si>
  <si>
    <t>г. Якутск, ул. Лермонтова, д. 29, корп. 1</t>
  </si>
  <si>
    <t>г. Якутск, ул. Маяковского, д. 98</t>
  </si>
  <si>
    <t>г. Якутск, ул. Можайского, д. 15</t>
  </si>
  <si>
    <t>г. Якутск, ул. Можайского, д. 17, корп. 4</t>
  </si>
  <si>
    <t>г. Якутск, ул. Можайского, д. 17, корп. 1</t>
  </si>
  <si>
    <t>г. Якутск, ул. Можайского, д. 19, корп. 3</t>
  </si>
  <si>
    <t>г. Якутск, ул. Октябрьская, д. 18</t>
  </si>
  <si>
    <t>г. Якутск, ул. Орджоникидзе, д. 39</t>
  </si>
  <si>
    <t>г. Якутск, ул. Петра Алексеева, д. 10</t>
  </si>
  <si>
    <t>г. Якутск, ул. Петра Алексеева, д. 12</t>
  </si>
  <si>
    <t>г. Якутск, ул. Петра Алексеева, д. 12, корп. 1</t>
  </si>
  <si>
    <t>г. Якутск, ул. Петра Алексеева, д. 12, корп. 2</t>
  </si>
  <si>
    <t>г. Якутск, ул. Петра Алексеева, д. 4, корп. 1</t>
  </si>
  <si>
    <t>г. Якутск, ул. Петра Алексеева, д. 4, корп. 2</t>
  </si>
  <si>
    <t>г. Якутск, ул. Петра Алексеева, д. 4, корп. 3</t>
  </si>
  <si>
    <t>г. Якутск, ул. Петра Алексеева, д. 8</t>
  </si>
  <si>
    <t>г. Якутск, ул. Пояркова, д. 8</t>
  </si>
  <si>
    <t>г. Якутск, ул. Федора Попова, д. 10, корп. 1</t>
  </si>
  <si>
    <t>г. Якутск, ул. Федора Попова, д. 14, корп. 1</t>
  </si>
  <si>
    <t>г. Якутск, ул. Хабарова, д. 3</t>
  </si>
  <si>
    <t>г. Якутск, ул. Хабарова, д. 7</t>
  </si>
  <si>
    <t>г. Якутск, ул. Халтурина, д. 6, корп. 1</t>
  </si>
  <si>
    <t>г. Якутск, ул. Халтурина, д. 6</t>
  </si>
  <si>
    <t>г. Якутск, ул. Чернышевского, д. 8 корп.1</t>
  </si>
  <si>
    <t>г. Якутск, ул. Чернышевского, д. 12, корп.1</t>
  </si>
  <si>
    <t>г. Якутск, ул. Чиряева, д. 1</t>
  </si>
  <si>
    <t>г. Якутск, ул. Якова Потапова, д. 6</t>
  </si>
  <si>
    <t>г. Якутск, ул. Якова Потапова, д. 6 корп.1</t>
  </si>
  <si>
    <t>г. Якутск, ул. Ярославского, д. 4</t>
  </si>
  <si>
    <t>г. Якутск, ул. Ярославского, д. 13</t>
  </si>
  <si>
    <t>г. Якутск, мкр. Кангалассы, ул. 26 партсъезда, д. 4</t>
  </si>
  <si>
    <t>г. Якутск, с. Маган, ул. 40 лет Победы, д. 60</t>
  </si>
  <si>
    <t>г. Якутск, с. Хатассы, ул. Каландарашвили, д. 4</t>
  </si>
  <si>
    <t>г. Якутск, с. Хатассы, ул. Каландарашвили, д. 4, корп. 1</t>
  </si>
  <si>
    <t>г. Якутск, с. Хатассы, ул. Ленина, д. 67</t>
  </si>
  <si>
    <t>г. Якутск, с. Хатассы, ул. Ленина, д. 67, корп. 1</t>
  </si>
  <si>
    <t>г. Якутск, мкр. 202-й, д. 16</t>
  </si>
  <si>
    <t>г. Якутск, мкр. 202-й, д. 18</t>
  </si>
  <si>
    <t>г. Якутск, мкр. 202-й, д. 19</t>
  </si>
  <si>
    <t>г. Якутск, пр-кт. Ленина, д. 11</t>
  </si>
  <si>
    <t>г. Якутск, ул. Автодорожная, д. 28, корп. 15</t>
  </si>
  <si>
    <t>г. Якутск, ул. Билибина, д. 50</t>
  </si>
  <si>
    <t>г. Якутск, ул. Воинская, д. 9</t>
  </si>
  <si>
    <t>г. Якутск, ул. Горького, д. 94</t>
  </si>
  <si>
    <t>г. Якутск, ул. Дзержинского, д. 12, корп. 3</t>
  </si>
  <si>
    <t>г. Якутск, ул. Дзержинского, д. 16</t>
  </si>
  <si>
    <t>г. Якутск, ул. Дзержинского, д. 20, корп. 2</t>
  </si>
  <si>
    <t>г. Якутск, ул. Дзержинского, д. 22, корп. 6</t>
  </si>
  <si>
    <t>г. Якутск, ул. Дзержинского, д. 40</t>
  </si>
  <si>
    <t>г. Якутск, ул. Дзержинского, д. 40, корп. 1</t>
  </si>
  <si>
    <t>г. Якутск, ул. Дзержинского, д. 7</t>
  </si>
  <si>
    <t>г. Якутск, ул. Дзержинского, д. 8</t>
  </si>
  <si>
    <t>г. Якутск, ул. Каландаришвили, д. 25, корп. 6</t>
  </si>
  <si>
    <t>г. Якутск, ул. Кирова, д. 34</t>
  </si>
  <si>
    <t>г. Якутск, ул. Короленко, д. 7</t>
  </si>
  <si>
    <t>г. Якутск, ул. Кузьмина, д. 10</t>
  </si>
  <si>
    <t>г. Якутск, ул. Кузьмина, д. 14</t>
  </si>
  <si>
    <t>г. Якутск, ул. Кузьмина, д. 16, корп. 1</t>
  </si>
  <si>
    <t>г. Якутск, ул. Лермонтова, д. 27, корп. 1</t>
  </si>
  <si>
    <t>г. Якутск, ул. Лермонтова, д. 58, корп. 2</t>
  </si>
  <si>
    <t>г. Якутск, ул. Лермонтова, д. 92, корп. 2</t>
  </si>
  <si>
    <t>г. Якутск, ул. Лермонтова, д. 94 кор.3</t>
  </si>
  <si>
    <t>г. Якутск, ул. Лермонтова, д. 138 кор.2</t>
  </si>
  <si>
    <t>г. Якутск, ул. Лермонтова, д. 138 кор.3</t>
  </si>
  <si>
    <t>г. Якутск, ул. Лермонтова, д. 138 кор.4</t>
  </si>
  <si>
    <t>г. Якутск, ул. Можайского, д. 19, корп. 4</t>
  </si>
  <si>
    <t>г. Якутск, ул. Ново-Карьерная, д. 20, корп. 2</t>
  </si>
  <si>
    <t>г. Якутск, ул. Ойунского, д. 20, корп. 1</t>
  </si>
  <si>
    <t>г. Якутск, ул. Ойунского, д. 25</t>
  </si>
  <si>
    <t>г. Якутск, ул. Ойунского, д. 41</t>
  </si>
  <si>
    <t>г. Якутск, ул. Орджоникидзе, д. 46, корп. 1</t>
  </si>
  <si>
    <t>г. Якутск, ул. Орджоникидзе, д. 7, корп. 2</t>
  </si>
  <si>
    <t>г. Якутск, ул. Петра Алексеева, д. 73, корп. 2</t>
  </si>
  <si>
    <t>г. Якутск, ул. Семена Данилова, д. 4, корп. 2</t>
  </si>
  <si>
    <t>г. Якутск, ул. Федора Попова, д. 14, корп. 4</t>
  </si>
  <si>
    <t>г. Якутск, ул. Федора Попова, д. 16, корп. 5</t>
  </si>
  <si>
    <t>г. Якутск, ул. Хабарова, д. 9</t>
  </si>
  <si>
    <t>г. Якутск, ул. Хабарова, д. 19</t>
  </si>
  <si>
    <t>г. Якутск, ул. Хабарова, д. 23 кор.1</t>
  </si>
  <si>
    <t>г. Якутск, ул. Хабарова, д. 27 кор.1</t>
  </si>
  <si>
    <t>г. Якутск, ул. Хабарова, д. 27 кор.3</t>
  </si>
  <si>
    <t>г. Якутск, ул. Халтурина, д. 2</t>
  </si>
  <si>
    <t>г. Якутск, ул. Чернышевского, д. 12</t>
  </si>
  <si>
    <t>г. Якутск, ул. Чернышевского, д. 22, корп. 3</t>
  </si>
  <si>
    <t>г. Якутск, ул. Ярославского, д. 19, корп. 1</t>
  </si>
  <si>
    <t>г. Якутск, ул. Ярославского, д. 32</t>
  </si>
  <si>
    <t>г. Якутск, ул. Ярославского, д. 7</t>
  </si>
  <si>
    <t>г. Якутск, ш. Сергеляхское 13 км, д. 1</t>
  </si>
  <si>
    <t>г. Якутск, ул. Стадухина, д. 84, корп. 1</t>
  </si>
  <si>
    <t>г. Якутск, ул. Федора Попова, д. 14 кор.4</t>
  </si>
  <si>
    <t>г. Якутск, ул. Федора Попова, д. 16 кор.5</t>
  </si>
  <si>
    <t>ГО Жатай, п. Жатай, ул. Северная, д. 21/1</t>
  </si>
  <si>
    <t>ГО Жатай, п. Жатай, ул. Северная, д. 33</t>
  </si>
  <si>
    <t>ГО Жатай, п. Жатай, ул. Северная, д. 37</t>
  </si>
  <si>
    <t>ГО Жатай, п. Жатай, ул. Северная, д. 37/1</t>
  </si>
  <si>
    <t>ГО Жатай, п. Жатай, ул. Северная, д. 54</t>
  </si>
  <si>
    <t>Алданский у, г. Томмот, ул. Крупской, д. 6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</si>
  <si>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</si>
  <si>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</si>
  <si>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19</t>
  </si>
  <si>
    <t>Алданский у, г. Томмот, пер. Якутский, д. 13</t>
  </si>
  <si>
    <t>Алданский у, п. Нижний Куранах, ул. Строительная, д. 18</t>
  </si>
  <si>
    <t>Алданский у, п. Нижний Куранах, ул. Строительная, д. 2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</si>
  <si>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</si>
  <si>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</si>
  <si>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4</t>
  </si>
  <si>
    <t>Алданский у, п. Нижний Куранах, ул. Строительная, д. 1-в</t>
  </si>
  <si>
    <t>Алданский у, п. Нижний Куранах, ул. Строительная, д. 6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</si>
  <si>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</si>
  <si>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</si>
  <si>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</si>
  <si>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г. Алдан, ул. Пролетарская, д. 49</t>
  </si>
  <si>
    <t>Алданский у, п. Ленинский, ул. Карла Маркса, д. 16</t>
  </si>
  <si>
    <t>Верхнеколымский у, п. Зырянка, ул. Леликова, д. 8</t>
  </si>
  <si>
    <t>Верхнеколымский у, п. Зырянка, ул. Победы, д. 20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</si>
  <si>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</si>
  <si>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9</t>
  </si>
  <si>
    <t>Булунский у, п. Тикси 3-й, ул. Полярной Авиации, д. 8</t>
  </si>
  <si>
    <t>Булунский у, п. Тикси, ул. 50 лет Севморпути, д. 6</t>
  </si>
  <si>
    <t>Булунский у, п. Тикси, ул. Академика Федорова, д. 28а</t>
  </si>
  <si>
    <t>Булунский у, п. Тикси, ул. Академика Федорова, д. 38</t>
  </si>
  <si>
    <t>Булунский у, п. Тикси, ул. Гагарина, д. 3</t>
  </si>
  <si>
    <t>Булунский у, п. Тикси, ул. Гагарина, д. 8а</t>
  </si>
  <si>
    <t>Булунский у, п. Тикси, ул. Ленинская, д. 17</t>
  </si>
  <si>
    <t>Булунский у, п. Тикси, ул. Ленинская, д. 21</t>
  </si>
  <si>
    <t>Булунский у, п. Тикси, ул. Ленинская, д. 2а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</si>
  <si>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</si>
  <si>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</si>
  <si>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</si>
  <si>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Трусова, д. 2а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</si>
  <si>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</si>
  <si>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</si>
  <si>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11</t>
  </si>
  <si>
    <t>Булунский у, п. Тикси, ул. Трусова, д. 14</t>
  </si>
  <si>
    <t>Ленский у, г. Ленск, ул. Ойунского, д. 23 кор.А</t>
  </si>
  <si>
    <t>Ленский у, г. Ленск, ул. Первомайская, д. 18</t>
  </si>
  <si>
    <t>Ленский у, г. Ленск, ул. Победы, д. 22</t>
  </si>
  <si>
    <t>Ленский у, г. Ленск, ул. Пролетарская, д. 17</t>
  </si>
  <si>
    <t>Ленский у, г. Ленск, ул. Дзержинского, д. 27</t>
  </si>
  <si>
    <t>Ленский у, г. Ленск, ул. Дзержинского, д. 19</t>
  </si>
  <si>
    <t>Ленский у, г. Ленск, ул. Дзержинского, д. 21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</si>
  <si>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</si>
  <si>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</si>
  <si>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</si>
  <si>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</si>
  <si>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</si>
  <si>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20</t>
  </si>
  <si>
    <t>Ленский у, г. Ленск, ул. Пролетарская, д. 5</t>
  </si>
  <si>
    <t>Ленский у, г. Ленск, ул. Дзержинского, д. 25</t>
  </si>
  <si>
    <t>Ленский у, г. Ленск, ул. Ленина, д. 73</t>
  </si>
  <si>
    <t>Ленский у, г. Ленск, ул. Первомайская, д. 10</t>
  </si>
  <si>
    <t>Ленский у, г. Ленск, ул. Первомайская, д. 5</t>
  </si>
  <si>
    <t>Ленский у, г. Ленск, ул. Первомайская, д. 9</t>
  </si>
  <si>
    <t>Ленский у, г. Ленск, ул. Пролетарская, д. 3</t>
  </si>
  <si>
    <t>Мирнинский у, г. Мирный, пр-кт. Ленинградский, д. 1, корп. 1</t>
  </si>
  <si>
    <t>Мирнинский у, г. Мирный, ул. Комсомольская, д. 4, корп. а</t>
  </si>
  <si>
    <t>Мирнинский у, г. Мирный, ул. Ойунского, д. 13</t>
  </si>
  <si>
    <t>Мирнинский у, г. Мирный, ул. Ойунского, д. 15</t>
  </si>
  <si>
    <t>Мирнинский у, г. Мирный, ул. Ойунского, д. 21</t>
  </si>
  <si>
    <t>Мирнинский у, г. Мирный, ул. Павлова, д. 10</t>
  </si>
  <si>
    <t>Мирнинский у, г. Мирный, ул. Советская, д. 13, корп. 1</t>
  </si>
  <si>
    <t>Мирнинский у, г. Мирный, ул. Советская, д. 15, корп. 1</t>
  </si>
  <si>
    <t>Мирнинский у, г. Мирный, ул. Советская, д. 19</t>
  </si>
  <si>
    <t>Мирнинский у, г. Мирный, ул. Солдатова, д. 6</t>
  </si>
  <si>
    <t>Мирнинский у, г. Мирный, ул. Солдатова, д. 3</t>
  </si>
  <si>
    <t>Мирнинский у, г. Мирный, ул. Тихонова, д. 12, корп. 2</t>
  </si>
  <si>
    <t>Мирнинский у, г. Мирный, ул. Тихонова, д. 8</t>
  </si>
  <si>
    <t>Мирнинский у, г. Мирный, ш. 50 лет Октября, д. 12, корп. 1</t>
  </si>
  <si>
    <t>Мирнинский у, г. Мирный, ш. 50 лет Октября, д. 7</t>
  </si>
  <si>
    <t>Мирнинский у, г. Мирный, пр-кт. Ленинградский, д. 21, корп. 1</t>
  </si>
  <si>
    <t>Мирнинский у, г. Мирный, ул. Аммосова, д. 98, корп. 1</t>
  </si>
  <si>
    <t>Мирнинский у, г. Мирный, ул. Ленина, д. 10, корп. а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</si>
  <si>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</si>
  <si>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</si>
  <si>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11, корп. 2</t>
  </si>
  <si>
    <t>Мирнинский у, г. Мирный, ул. Советская, д. 13, корп. 4</t>
  </si>
  <si>
    <t>Мирнинский у, г. Мирный, ул. Советская, д. 15, корп. 2</t>
  </si>
  <si>
    <t>Мирнинский у, г. Мирный, ул. Советская, д. 21</t>
  </si>
  <si>
    <t>Мирнинский у, г. Мирный, ул. Солдатова, д. 12</t>
  </si>
  <si>
    <t>Мирнинский у, г. Мирный, ул. Солдатова, д. 16</t>
  </si>
  <si>
    <t>Мирнинский у, г. Мирный, ул. Солдатова, д. 2, корп. 1</t>
  </si>
  <si>
    <t>Мирнинский у, г. Мирный, ул. Тихонова, д. 12</t>
  </si>
  <si>
    <t>Мирнинский у, г. Мирный, ул. Тихонова, д. 29, корп. 2</t>
  </si>
  <si>
    <t>Мирнинский у, г. Мирный, ул. Тихонова, д. 29/4</t>
  </si>
  <si>
    <t>Мирнинский у, г. Мирный, ул. Тихонова, д. 3, корп. 2</t>
  </si>
  <si>
    <t>Мирнинский у, г. Мирный, ш. 50 лет Октября, д. 1</t>
  </si>
  <si>
    <t>Мирнинский у, г. Мирный, ш. 50 лет Октября, д. 16, корп. 1</t>
  </si>
  <si>
    <t>Мирнинский у, г. Мирный, пр-кт. Ленинградский, д. 19</t>
  </si>
  <si>
    <t>Мирнинский у, г. Мирный, ул. Аммосова, д. 96, корп. 1</t>
  </si>
  <si>
    <t>Мирнинский у, г. Мирный, ул. Аммосова, д. 100</t>
  </si>
  <si>
    <t>Мирнинский у, г. Мирный, ул. Комсомольская, д. 25, корп. а</t>
  </si>
  <si>
    <t>Мирнинский у, г. Мирный, ул. Ленина, д. 22 кор.А</t>
  </si>
  <si>
    <t>Мирнинский у, г. Мирный, ул. Ленина, д. 4, корп. 2</t>
  </si>
  <si>
    <t>Мирнинский у, г. Мирный, ул. Солдатова, д. 2</t>
  </si>
  <si>
    <t>Мирнинский у, г. Мирный, ул. Тихонова, д. 14</t>
  </si>
  <si>
    <t>Мирнинский у, г. Мирный, ул. Тихонова, д. 29, корп. 1</t>
  </si>
  <si>
    <t>Мирнинский у, г. Мирный, ул. Тихонова, д. 29, корп. 3</t>
  </si>
  <si>
    <t>Мирнинский у, г. Мирный, ш. 50 лет Октября, д. 14 кор.1</t>
  </si>
  <si>
    <t>Мирнинский у,  п. Айхал, ул. Советская, д. 15</t>
  </si>
  <si>
    <t>Мирнинский у,  п. Светлый, ул. Гидростроителей, д. 1</t>
  </si>
  <si>
    <t>Мирнинский у,  п. Светлый, ул. Гидростроителей, д. 2</t>
  </si>
  <si>
    <t>Мирнинский у,  п. Светлый, ул. Вилюйская, д. 1</t>
  </si>
  <si>
    <t>Мирнинский у,  п. Светлый, ул. Вилюйская, д. 2</t>
  </si>
  <si>
    <t>Мирнинский у,  п. Светлый, ул. Советская, д. 2</t>
  </si>
  <si>
    <t>Мирнинский у,  п. Светлый, ул. Гидростроителей, д. 3</t>
  </si>
  <si>
    <t>Мирнинский у,  п. Светлый, ул. Молодежная, д. 11</t>
  </si>
  <si>
    <t>Мирнинский у,  п. Чернышевский, ул. Гидростроителей, д. 24</t>
  </si>
  <si>
    <t>Мирнинский у,  п. Чернышевский, ул. Космонавтов, д. 10/2</t>
  </si>
  <si>
    <t>Нижнеколымский у, п. Черский, ул. Котельникова, д. 9</t>
  </si>
  <si>
    <t>Нижнеколымский у, п. Черский, ул. Таврата, д. 11</t>
  </si>
  <si>
    <t>Нижнеколымский у, п. Черский, ул. Молодежная, д. 6, корп. 2</t>
  </si>
  <si>
    <t>Нижнеколымский у, п. Черский, ул. Таврата, д. 13</t>
  </si>
  <si>
    <t>Нижнеколымский у, п. Черский, ул. Таврата, д. 15</t>
  </si>
  <si>
    <t>Нижнеколымский у, п. Черский, ул. Таврата, д. 12</t>
  </si>
  <si>
    <t>Нижнеколымский у, п. Черский, ул. Пушкина, д. 9</t>
  </si>
  <si>
    <t>Нижнеколымский у, п. Черский, ул. Пушкина, д. 15</t>
  </si>
  <si>
    <t>Нюрбинский у, г. Нюрба, кв-л. Энергетик, д. 67</t>
  </si>
  <si>
    <t>Нюрбинский у, г. Нюрба, кв-л. Энергетик, д. 67, корп. 1</t>
  </si>
  <si>
    <t>Нюрбинский у, г. Нюрба, кв-л. Энергетик, д. 71</t>
  </si>
  <si>
    <t>Нюрбинский у, г. Нюрба, кв-л. Энергетик, д. 73</t>
  </si>
  <si>
    <t>Нюрбинский у, г. Нюрба, кв-л. Энергетик, д. 75</t>
  </si>
  <si>
    <t>Нюрбинский у, г. Нюрба, кв-л. Энергетик, д. 9</t>
  </si>
  <si>
    <t>Нюрбинский у, г. Нюрба, кв-л. Энергетик, д. 7</t>
  </si>
  <si>
    <t>Олекминский у, г. Олёкминск, ул. Калинина, д. 2</t>
  </si>
  <si>
    <t>Томпонский у, п Хандыга, п. Хандыга, ул. Лесная, д. 16</t>
  </si>
  <si>
    <t>Томпонский у, п Хандыга, п. Хандыга, ул. П.Алексеева, д. 4</t>
  </si>
  <si>
    <t>Томпонский у, п Хандыга, п. Хандыга, ул. П.Алексеева, д. 6</t>
  </si>
  <si>
    <t>Томпонский у, п Хандыга, п. Хандыга, ул. П.Алексеева, д. 2</t>
  </si>
  <si>
    <t>Томпонский у, п Хандыга, п. Хандыга, ул. Геолога Кудрявого, д. 32</t>
  </si>
  <si>
    <t>Томпонский у, п Хандыга, п. Хандыга, ул. Магаданская, д. 30</t>
  </si>
  <si>
    <t>Оймяконский у, п Усть-Нера, ул. Андрианова, д. 2</t>
  </si>
  <si>
    <t>Оймяконский у, п Усть-Нера, ул. Андрианова, д. 6</t>
  </si>
  <si>
    <t>Оймяконский у, п Усть-Нера, ул. Ленина, д. 27</t>
  </si>
  <si>
    <t>Оймяконский у, п Усть-Нера, ул. Мацкепладзе, д. 20</t>
  </si>
  <si>
    <t>Оймяконский у, п Усть-Нера, ул. Молодежная, д. 2</t>
  </si>
  <si>
    <t>Оймяконский у, п Усть-Нера, ул. Молодежная, д. 3</t>
  </si>
  <si>
    <t>Усть-Майский у, п. Эльдикан, ул. Алданская, д. 81</t>
  </si>
  <si>
    <t>Усть-Майский у, п. Эльдикан, ул. Куйбышева, д. 34</t>
  </si>
  <si>
    <t>Усть-Майский у, п. Эльдикан, ул. Победы, д. 1</t>
  </si>
  <si>
    <t>Усть-Майский у, п. Эльдикан, ул. Рабочая, д. 8</t>
  </si>
  <si>
    <t>Усть-Майский у, п. Эльдикан, ул. Рабочая, д. 12</t>
  </si>
  <si>
    <t>Усть-Майский у, с. Петропавловск, ул. Строда, д. 21</t>
  </si>
  <si>
    <t>Усть-Майский у, п. Эльдикан, ул. Куйбышева, д. 30</t>
  </si>
  <si>
    <t>Усть-Майский у, п. Солнечный, ул. Профсоюзов, д. 6</t>
  </si>
  <si>
    <t>Хангаласский у, г. Покровск, ул. Орджоникидзе, д. 20</t>
  </si>
  <si>
    <t>Хангаласский у, г. Покровск, ул. Таежная, д. 3</t>
  </si>
  <si>
    <t>Хангаласский у, г. Покровск, ул. Таежная, д. 5</t>
  </si>
  <si>
    <t>Хангаласский у, п. Мохсоголлох, ул. Молодежная, д. 24</t>
  </si>
  <si>
    <t>Хангаласский у, п. Мохсоголлох, ул. Соколиная, д. 11</t>
  </si>
  <si>
    <t>Хангаласский у, п. Мохсоголлох, ул. Соколиная, д. 13</t>
  </si>
  <si>
    <t>Хангаласский у, п. Мохсоголлох, ул. Соколиная, д. 8</t>
  </si>
  <si>
    <t>Хангаласский у, п. Мохсоголлох, ул. Заводская, д. 1</t>
  </si>
  <si>
    <t>Хангаласский у, п. Мохсоголлох, ул. Молодежная, д. 20</t>
  </si>
  <si>
    <t>Хангаласский у, п. Мохсоголлох, ул. Молодежная, д. 20, корп. а</t>
  </si>
  <si>
    <t>Хангаласский у, п. Мохсоголлох, ул. Молодежная, д. 22</t>
  </si>
  <si>
    <t>Хангаласский у, п. Мохсоголлох, ул. Соколиная, д. 12</t>
  </si>
  <si>
    <t>Хангаласский у, п. Мохсоголлох, ул. Соколиная, д. 16</t>
  </si>
  <si>
    <t>Хангаласский у, п. Мохсоголлох, ул. Соколиная, д. 2</t>
  </si>
  <si>
    <t>Хангаласский у, п. Мохсоголлох, ул. Соколиная, д. 22</t>
  </si>
  <si>
    <t>Хангаласский у, г. Покровск, ул. Братьев Ксенофонтовых, д. 10</t>
  </si>
  <si>
    <t>Хангаласский у, г. Покровск, ул. Орджоникидзе, д. 22</t>
  </si>
  <si>
    <t>Хангаласский у,  Немюгинский н-г, с. Ой, ул. Горького, д. 22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</si>
  <si>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</si>
  <si>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</si>
  <si>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п. Мохсоголлох, ул. Военный городок, д. 7</t>
  </si>
  <si>
    <t>Хангаласский у, п. Мохсоголлох, ул. Советская, д. 5</t>
  </si>
  <si>
    <t>Хангаласский у, п. Мохсоголлох, ул. Соколиная, д. 10</t>
  </si>
  <si>
    <t>Хангаласский у, п. Мохсоголлох, ул. Соколиная, д. 20</t>
  </si>
  <si>
    <t>Чурапчинский у, Чурапчинский н-г, с. Чурапча, ул. Ленина, д. 39</t>
  </si>
  <si>
    <t>Усть-Янский у, п. Депутатский,, мкр. Арктика, д. 11</t>
  </si>
  <si>
    <t>Усть-Янский у, п. Депутатский,, мкр. Арктика, д. 13</t>
  </si>
  <si>
    <t>Усть-Янский у, п. Депутатский,, мкр. Арктика, д. 15</t>
  </si>
  <si>
    <t>Усть-Янский у, п. Депутатский,, мкр. Арктика, д. 2</t>
  </si>
  <si>
    <t>Усть-Янский у, п. Депутатский,, мкр. Арктика, д. 21</t>
  </si>
  <si>
    <t>Усть-Янский у, п. Депутатский,, мкр. Арктика, д. 22</t>
  </si>
  <si>
    <t>Усть-Янский у, п. Депутатский,, мкр. Арктика, д. 23</t>
  </si>
  <si>
    <t>Усть-Янский у, п. Депутатский,, мкр. Арктика, д. 25</t>
  </si>
  <si>
    <t>Усть-Янский у, п. Депутатский,, мкр. Арктика, д. 24</t>
  </si>
  <si>
    <t>Усть-Янский у, п. Депутатский,, мкр. Арктика, д. 8</t>
  </si>
  <si>
    <t>Усть-Янский у, п. Депутатский, мкр. Арктика, д. 11</t>
  </si>
  <si>
    <t>Усть-Янский у, п. Депутатский, мкр. Арктика, д. 13</t>
  </si>
  <si>
    <t>Усть-Янский у, п. Депутатский, мкр. Арктика, д. 15</t>
  </si>
  <si>
    <t>Усть-Янский у, п. Депутатский, мкр. Арктика, д. 2</t>
  </si>
  <si>
    <t>Усть-Янский у, п. Депутатский, мкр. Арктика, д. 21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</si>
  <si>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</si>
  <si>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</si>
  <si>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25</t>
  </si>
  <si>
    <t>Усть-Янский у, п. Депутатский, мкр. Арктика, д. 24</t>
  </si>
  <si>
    <t>Усть-Янский у, п. Депутатский, мкр. Арктика, д. 8</t>
  </si>
  <si>
    <t>Усть-Алданский у, Мюрюнский н-г, с. Борогонцы, ул. Ленина, д. 34 ЧС</t>
  </si>
  <si>
    <t>Усть-Алданский у, Мюрюнский н-г, с. Борогонцы, ул. Лонгинова, д. 37 кор.1 ЧС</t>
  </si>
  <si>
    <t>Алданский у, п. Лебединый, ул. Карла Маркса, д. 20</t>
  </si>
  <si>
    <t>Алданский у, п. Лебединый, ул. Карла Маркса, д. 20, корп. А</t>
  </si>
  <si>
    <t>Алданский у, п. Лебединый, ул. Октябрьская, д. 36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</si>
  <si>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</si>
  <si>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</si>
  <si>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</si>
  <si>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</si>
  <si>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</si>
  <si>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</si>
  <si>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ГП "Поселок Хани"</t>
  </si>
  <si>
    <t>СП "Мюрюнский наслег"</t>
  </si>
  <si>
    <t>ГП "Поселок Хандыга"</t>
  </si>
  <si>
    <t>СП "Немюгюнский наслег"!</t>
  </si>
  <si>
    <t>МО "Поселок Депутатский" спецсчет</t>
  </si>
  <si>
    <t>ГП "Поселок Хани""</t>
  </si>
  <si>
    <t>от  "11" июля 2023 г. № 289-ОД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</si>
</sst>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#,##0.00_ ;[Red]\-#,##0.00\ "/>
    <numFmt numFmtId="167" formatCode="#,##0_ ;[Red]\-#,##0\ "/>
    <numFmt numFmtId="168" formatCode="#,##0.0000_ ;[Red]\-#,##0.0000\ "/>
    <numFmt numFmtId="169" formatCode="#,##0.0000000000"/>
    <numFmt numFmtId="170" formatCode="_-* #\ ##0.00_-;\-* #\ ##0.00_-;_-* &quot;-&quot;??_-;_-@_-"/>
    <numFmt numFmtId="171" formatCode="_-* #\ ##0.00\ _₽_-;\-* #\ ##0.00\ _₽_-;_-* &quot;-&quot;??\ _₽_-;_-@_-"/>
    <numFmt numFmtId="172" formatCode="#\ ##0.00_ ;[Red]\-#\ ##0.00\ "/>
    <numFmt numFmtId="173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Arial"/>
      <family val="1"/>
      <charset val="204"/>
    </font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9">
    <xf numFmtId="0" fontId="0" fillId="0" borderId="0"/>
    <xf numFmtId="0" fontId="3" fillId="0" borderId="0"/>
    <xf numFmtId="0" fontId="10" fillId="0" borderId="0"/>
    <xf numFmtId="0" fontId="11" fillId="0" borderId="0"/>
    <xf numFmtId="0" fontId="13" fillId="0" borderId="0"/>
    <xf numFmtId="0" fontId="14" fillId="0" borderId="0"/>
    <xf numFmtId="0" fontId="3" fillId="0" borderId="0"/>
    <xf numFmtId="16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>
      <alignment vertical="top"/>
      <protection locked="0"/>
    </xf>
    <xf numFmtId="0" fontId="15" fillId="0" borderId="0">
      <alignment vertical="top"/>
      <protection locked="0"/>
    </xf>
    <xf numFmtId="0" fontId="11" fillId="0" borderId="0"/>
    <xf numFmtId="0" fontId="16" fillId="0" borderId="0"/>
    <xf numFmtId="0" fontId="11" fillId="0" borderId="0"/>
    <xf numFmtId="0" fontId="2" fillId="0" borderId="0"/>
    <xf numFmtId="0" fontId="1" fillId="0" borderId="0"/>
    <xf numFmtId="0" fontId="20" fillId="0" borderId="0"/>
    <xf numFmtId="0" fontId="10" fillId="0" borderId="0"/>
    <xf numFmtId="0" fontId="11" fillId="0" borderId="0"/>
    <xf numFmtId="0" fontId="21" fillId="0" borderId="0"/>
    <xf numFmtId="0" fontId="21" fillId="0" borderId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195">
    <xf numFmtId="0" fontId="0" fillId="0" borderId="0" xfId="0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4" fontId="6" fillId="2" borderId="0" xfId="1" applyNumberFormat="1" applyFont="1" applyFill="1" applyAlignment="1">
      <alignment horizontal="center" vertical="top" wrapText="1"/>
    </xf>
    <xf numFmtId="4" fontId="6" fillId="2" borderId="9" xfId="1" applyNumberFormat="1" applyFont="1" applyFill="1" applyBorder="1" applyAlignment="1">
      <alignment vertical="top" wrapText="1"/>
    </xf>
    <xf numFmtId="4" fontId="4" fillId="2" borderId="0" xfId="1" applyNumberFormat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4" fillId="2" borderId="9" xfId="1" applyFont="1" applyFill="1" applyBorder="1"/>
    <xf numFmtId="166" fontId="4" fillId="2" borderId="9" xfId="1" applyNumberFormat="1" applyFont="1" applyFill="1" applyBorder="1"/>
    <xf numFmtId="4" fontId="4" fillId="2" borderId="9" xfId="1" applyNumberFormat="1" applyFont="1" applyFill="1" applyBorder="1"/>
    <xf numFmtId="166" fontId="4" fillId="2" borderId="0" xfId="1" applyNumberFormat="1" applyFont="1" applyFill="1"/>
    <xf numFmtId="166" fontId="4" fillId="2" borderId="10" xfId="1" applyNumberFormat="1" applyFont="1" applyFill="1" applyBorder="1"/>
    <xf numFmtId="4" fontId="7" fillId="2" borderId="9" xfId="1" applyNumberFormat="1" applyFont="1" applyFill="1" applyBorder="1"/>
    <xf numFmtId="166" fontId="7" fillId="2" borderId="9" xfId="1" applyNumberFormat="1" applyFont="1" applyFill="1" applyBorder="1"/>
    <xf numFmtId="166" fontId="7" fillId="2" borderId="10" xfId="1" applyNumberFormat="1" applyFont="1" applyFill="1" applyBorder="1"/>
    <xf numFmtId="4" fontId="13" fillId="2" borderId="5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4" fontId="18" fillId="2" borderId="0" xfId="0" applyNumberFormat="1" applyFont="1" applyFill="1"/>
    <xf numFmtId="166" fontId="18" fillId="2" borderId="0" xfId="0" applyNumberFormat="1" applyFont="1" applyFill="1"/>
    <xf numFmtId="0" fontId="4" fillId="2" borderId="0" xfId="1" applyFont="1" applyFill="1" applyAlignment="1">
      <alignment vertical="top"/>
    </xf>
    <xf numFmtId="0" fontId="4" fillId="2" borderId="0" xfId="0" applyFont="1" applyFill="1"/>
    <xf numFmtId="166" fontId="4" fillId="2" borderId="7" xfId="1" applyNumberFormat="1" applyFont="1" applyFill="1" applyBorder="1"/>
    <xf numFmtId="4" fontId="13" fillId="2" borderId="5" xfId="4" applyNumberFormat="1" applyFill="1" applyBorder="1" applyAlignment="1">
      <alignment horizontal="right" vertical="center" wrapText="1"/>
    </xf>
    <xf numFmtId="0" fontId="9" fillId="2" borderId="0" xfId="1" applyFont="1" applyFill="1"/>
    <xf numFmtId="4" fontId="6" fillId="2" borderId="0" xfId="1" applyNumberFormat="1" applyFont="1" applyFill="1"/>
    <xf numFmtId="166" fontId="4" fillId="0" borderId="9" xfId="1" applyNumberFormat="1" applyFont="1" applyBorder="1"/>
    <xf numFmtId="0" fontId="6" fillId="3" borderId="7" xfId="1" applyFont="1" applyFill="1" applyBorder="1" applyAlignment="1">
      <alignment horizontal="center" vertical="top"/>
    </xf>
    <xf numFmtId="0" fontId="6" fillId="3" borderId="7" xfId="1" applyFont="1" applyFill="1" applyBorder="1" applyAlignment="1">
      <alignment horizontal="center" vertical="top" wrapText="1"/>
    </xf>
    <xf numFmtId="4" fontId="6" fillId="3" borderId="7" xfId="1" applyNumberFormat="1" applyFont="1" applyFill="1" applyBorder="1" applyAlignment="1">
      <alignment horizontal="center" vertical="top" wrapText="1"/>
    </xf>
    <xf numFmtId="4" fontId="6" fillId="3" borderId="0" xfId="1" applyNumberFormat="1" applyFont="1" applyFill="1" applyAlignment="1">
      <alignment horizontal="center" vertical="top" wrapText="1"/>
    </xf>
    <xf numFmtId="0" fontId="6" fillId="3" borderId="0" xfId="1" applyFont="1" applyFill="1" applyAlignment="1">
      <alignment horizontal="center" vertical="top"/>
    </xf>
    <xf numFmtId="0" fontId="6" fillId="3" borderId="9" xfId="1" applyFont="1" applyFill="1" applyBorder="1" applyAlignment="1">
      <alignment horizontal="center" vertical="top" wrapText="1"/>
    </xf>
    <xf numFmtId="4" fontId="6" fillId="3" borderId="9" xfId="1" applyNumberFormat="1" applyFont="1" applyFill="1" applyBorder="1" applyAlignment="1">
      <alignment vertical="top" wrapText="1"/>
    </xf>
    <xf numFmtId="4" fontId="6" fillId="3" borderId="15" xfId="1" applyNumberFormat="1" applyFont="1" applyFill="1" applyBorder="1" applyAlignment="1">
      <alignment vertical="top" wrapText="1"/>
    </xf>
    <xf numFmtId="0" fontId="4" fillId="3" borderId="0" xfId="1" applyFont="1" applyFill="1" applyAlignment="1">
      <alignment horizontal="center" vertical="top" wrapText="1"/>
    </xf>
    <xf numFmtId="0" fontId="7" fillId="3" borderId="0" xfId="1" applyFont="1" applyFill="1"/>
    <xf numFmtId="0" fontId="4" fillId="3" borderId="0" xfId="1" applyFont="1" applyFill="1"/>
    <xf numFmtId="0" fontId="6" fillId="3" borderId="0" xfId="1" applyFont="1" applyFill="1" applyAlignment="1">
      <alignment horizontal="center"/>
    </xf>
    <xf numFmtId="166" fontId="6" fillId="3" borderId="0" xfId="1" applyNumberFormat="1" applyFont="1" applyFill="1"/>
    <xf numFmtId="4" fontId="6" fillId="3" borderId="0" xfId="1" applyNumberFormat="1" applyFont="1" applyFill="1"/>
    <xf numFmtId="0" fontId="4" fillId="3" borderId="9" xfId="1" applyFont="1" applyFill="1" applyBorder="1" applyAlignment="1">
      <alignment horizontal="center"/>
    </xf>
    <xf numFmtId="166" fontId="6" fillId="3" borderId="9" xfId="1" applyNumberFormat="1" applyFont="1" applyFill="1" applyBorder="1"/>
    <xf numFmtId="166" fontId="7" fillId="3" borderId="9" xfId="1" applyNumberFormat="1" applyFont="1" applyFill="1" applyBorder="1"/>
    <xf numFmtId="0" fontId="4" fillId="3" borderId="10" xfId="1" applyFont="1" applyFill="1" applyBorder="1" applyAlignment="1">
      <alignment horizontal="center"/>
    </xf>
    <xf numFmtId="166" fontId="4" fillId="3" borderId="0" xfId="1" applyNumberFormat="1" applyFont="1" applyFill="1"/>
    <xf numFmtId="4" fontId="7" fillId="3" borderId="0" xfId="1" applyNumberFormat="1" applyFont="1" applyFill="1"/>
    <xf numFmtId="166" fontId="7" fillId="3" borderId="0" xfId="1" applyNumberFormat="1" applyFont="1" applyFill="1"/>
    <xf numFmtId="166" fontId="4" fillId="3" borderId="9" xfId="1" applyNumberFormat="1" applyFont="1" applyFill="1" applyBorder="1"/>
    <xf numFmtId="166" fontId="7" fillId="0" borderId="9" xfId="1" applyNumberFormat="1" applyFont="1" applyBorder="1"/>
    <xf numFmtId="0" fontId="4" fillId="6" borderId="0" xfId="1" applyFont="1" applyFill="1"/>
    <xf numFmtId="0" fontId="4" fillId="5" borderId="0" xfId="1" applyFont="1" applyFill="1"/>
    <xf numFmtId="0" fontId="4" fillId="4" borderId="0" xfId="1" applyFont="1" applyFill="1"/>
    <xf numFmtId="4" fontId="7" fillId="2" borderId="0" xfId="1" applyNumberFormat="1" applyFont="1" applyFill="1"/>
    <xf numFmtId="166" fontId="7" fillId="2" borderId="0" xfId="1" applyNumberFormat="1" applyFont="1" applyFill="1"/>
    <xf numFmtId="0" fontId="4" fillId="0" borderId="8" xfId="1" applyFont="1" applyBorder="1"/>
    <xf numFmtId="0" fontId="4" fillId="0" borderId="9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169" fontId="4" fillId="2" borderId="0" xfId="1" applyNumberFormat="1" applyFont="1" applyFill="1" applyAlignment="1">
      <alignment horizontal="center" vertical="top" wrapText="1"/>
    </xf>
    <xf numFmtId="166" fontId="7" fillId="7" borderId="9" xfId="1" applyNumberFormat="1" applyFont="1" applyFill="1" applyBorder="1"/>
    <xf numFmtId="166" fontId="4" fillId="7" borderId="9" xfId="1" applyNumberFormat="1" applyFont="1" applyFill="1" applyBorder="1"/>
    <xf numFmtId="3" fontId="4" fillId="2" borderId="0" xfId="1" applyNumberFormat="1" applyFont="1" applyFill="1" applyAlignment="1">
      <alignment horizontal="center" vertical="top" wrapText="1"/>
    </xf>
    <xf numFmtId="166" fontId="4" fillId="7" borderId="0" xfId="1" applyNumberFormat="1" applyFont="1" applyFill="1"/>
    <xf numFmtId="0" fontId="4" fillId="7" borderId="0" xfId="1" applyFont="1" applyFill="1"/>
    <xf numFmtId="4" fontId="7" fillId="7" borderId="9" xfId="1" applyNumberFormat="1" applyFont="1" applyFill="1" applyBorder="1"/>
    <xf numFmtId="166" fontId="7" fillId="7" borderId="10" xfId="1" applyNumberFormat="1" applyFont="1" applyFill="1" applyBorder="1"/>
    <xf numFmtId="4" fontId="4" fillId="7" borderId="0" xfId="1" applyNumberFormat="1" applyFont="1" applyFill="1" applyAlignment="1">
      <alignment horizontal="center" vertical="top" wrapText="1"/>
    </xf>
    <xf numFmtId="0" fontId="18" fillId="3" borderId="0" xfId="0" applyFont="1" applyFill="1"/>
    <xf numFmtId="0" fontId="18" fillId="0" borderId="0" xfId="0" applyFont="1"/>
    <xf numFmtId="4" fontId="4" fillId="0" borderId="0" xfId="1" applyNumberFormat="1" applyFont="1" applyAlignment="1">
      <alignment vertical="top"/>
    </xf>
    <xf numFmtId="4" fontId="18" fillId="0" borderId="0" xfId="0" applyNumberFormat="1" applyFont="1"/>
    <xf numFmtId="4" fontId="4" fillId="0" borderId="0" xfId="1" applyNumberFormat="1" applyFont="1"/>
    <xf numFmtId="4" fontId="18" fillId="8" borderId="0" xfId="0" applyNumberFormat="1" applyFont="1" applyFill="1"/>
    <xf numFmtId="0" fontId="19" fillId="2" borderId="0" xfId="1" applyFont="1" applyFill="1" applyAlignment="1">
      <alignment horizontal="right"/>
    </xf>
    <xf numFmtId="4" fontId="6" fillId="2" borderId="18" xfId="1" applyNumberFormat="1" applyFont="1" applyFill="1" applyBorder="1" applyAlignment="1">
      <alignment vertical="top" wrapText="1"/>
    </xf>
    <xf numFmtId="4" fontId="6" fillId="2" borderId="0" xfId="1" applyNumberFormat="1" applyFont="1" applyFill="1" applyAlignment="1">
      <alignment vertical="top" wrapText="1"/>
    </xf>
    <xf numFmtId="0" fontId="6" fillId="3" borderId="19" xfId="1" applyFont="1" applyFill="1" applyBorder="1" applyAlignment="1">
      <alignment horizontal="center" vertical="top" wrapText="1"/>
    </xf>
    <xf numFmtId="4" fontId="6" fillId="3" borderId="18" xfId="1" applyNumberFormat="1" applyFont="1" applyFill="1" applyBorder="1" applyAlignment="1">
      <alignment vertical="top" wrapText="1"/>
    </xf>
    <xf numFmtId="4" fontId="6" fillId="3" borderId="0" xfId="1" applyNumberFormat="1" applyFont="1" applyFill="1" applyAlignment="1">
      <alignment vertical="top" wrapText="1"/>
    </xf>
    <xf numFmtId="0" fontId="4" fillId="0" borderId="20" xfId="1" applyFont="1" applyBorder="1"/>
    <xf numFmtId="4" fontId="6" fillId="2" borderId="0" xfId="1" applyNumberFormat="1" applyFont="1" applyFill="1" applyAlignment="1">
      <alignment horizontal="center" vertical="center"/>
    </xf>
    <xf numFmtId="4" fontId="7" fillId="0" borderId="9" xfId="1" applyNumberFormat="1" applyFont="1" applyBorder="1"/>
    <xf numFmtId="0" fontId="7" fillId="0" borderId="9" xfId="1" applyFont="1" applyBorder="1"/>
    <xf numFmtId="0" fontId="7" fillId="0" borderId="8" xfId="1" applyFont="1" applyBorder="1"/>
    <xf numFmtId="0" fontId="7" fillId="0" borderId="16" xfId="1" applyFont="1" applyBorder="1"/>
    <xf numFmtId="0" fontId="7" fillId="0" borderId="7" xfId="1" applyFont="1" applyBorder="1"/>
    <xf numFmtId="173" fontId="4" fillId="2" borderId="0" xfId="1" applyNumberFormat="1" applyFont="1" applyFill="1" applyAlignment="1">
      <alignment vertical="center"/>
    </xf>
    <xf numFmtId="173" fontId="6" fillId="2" borderId="0" xfId="1" applyNumberFormat="1" applyFont="1" applyFill="1" applyAlignment="1">
      <alignment horizontal="center" vertical="center"/>
    </xf>
    <xf numFmtId="166" fontId="4" fillId="0" borderId="9" xfId="1" applyNumberFormat="1" applyFont="1" applyFill="1" applyBorder="1"/>
    <xf numFmtId="166" fontId="7" fillId="0" borderId="9" xfId="1" applyNumberFormat="1" applyFont="1" applyFill="1" applyBorder="1"/>
    <xf numFmtId="166" fontId="9" fillId="0" borderId="9" xfId="1" applyNumberFormat="1" applyFont="1" applyFill="1" applyBorder="1"/>
    <xf numFmtId="172" fontId="7" fillId="0" borderId="9" xfId="1" applyNumberFormat="1" applyFont="1" applyFill="1" applyBorder="1"/>
    <xf numFmtId="0" fontId="4" fillId="0" borderId="0" xfId="1" applyFont="1" applyFill="1"/>
    <xf numFmtId="0" fontId="6" fillId="3" borderId="11" xfId="1" applyFont="1" applyFill="1" applyBorder="1" applyAlignment="1">
      <alignment horizontal="center" vertical="top"/>
    </xf>
    <xf numFmtId="0" fontId="6" fillId="3" borderId="0" xfId="1" applyFont="1" applyFill="1" applyAlignment="1">
      <alignment horizontal="center" vertical="top" wrapText="1"/>
    </xf>
    <xf numFmtId="165" fontId="6" fillId="3" borderId="9" xfId="1" applyNumberFormat="1" applyFont="1" applyFill="1" applyBorder="1" applyAlignment="1">
      <alignment horizontal="center" vertical="top" wrapText="1"/>
    </xf>
    <xf numFmtId="3" fontId="6" fillId="3" borderId="9" xfId="1" applyNumberFormat="1" applyFont="1" applyFill="1" applyBorder="1" applyAlignment="1">
      <alignment horizontal="center" vertical="top" wrapText="1"/>
    </xf>
    <xf numFmtId="4" fontId="6" fillId="3" borderId="9" xfId="1" applyNumberFormat="1" applyFont="1" applyFill="1" applyBorder="1" applyAlignment="1">
      <alignment horizontal="center" vertical="top" wrapText="1"/>
    </xf>
    <xf numFmtId="4" fontId="6" fillId="3" borderId="21" xfId="1" applyNumberFormat="1" applyFont="1" applyFill="1" applyBorder="1" applyAlignment="1">
      <alignment horizontal="center" vertical="top" wrapText="1"/>
    </xf>
    <xf numFmtId="0" fontId="6" fillId="3" borderId="21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horizontal="center" vertical="top" wrapText="1"/>
    </xf>
    <xf numFmtId="0" fontId="4" fillId="0" borderId="9" xfId="1" applyFont="1" applyFill="1" applyBorder="1"/>
    <xf numFmtId="0" fontId="4" fillId="0" borderId="9" xfId="1" applyFont="1" applyFill="1" applyBorder="1" applyAlignment="1">
      <alignment horizontal="center"/>
    </xf>
    <xf numFmtId="167" fontId="4" fillId="0" borderId="9" xfId="1" applyNumberFormat="1" applyFont="1" applyFill="1" applyBorder="1"/>
    <xf numFmtId="4" fontId="7" fillId="0" borderId="9" xfId="1" applyNumberFormat="1" applyFont="1" applyFill="1" applyBorder="1"/>
    <xf numFmtId="0" fontId="6" fillId="3" borderId="15" xfId="1" applyFont="1" applyFill="1" applyBorder="1" applyAlignment="1">
      <alignment horizontal="center" vertical="top" wrapText="1"/>
    </xf>
    <xf numFmtId="3" fontId="6" fillId="3" borderId="21" xfId="1" applyNumberFormat="1" applyFont="1" applyFill="1" applyBorder="1" applyAlignment="1">
      <alignment horizontal="center" vertical="top" wrapText="1"/>
    </xf>
    <xf numFmtId="165" fontId="6" fillId="3" borderId="7" xfId="1" applyNumberFormat="1" applyFont="1" applyFill="1" applyBorder="1" applyAlignment="1">
      <alignment horizontal="center" vertical="top" wrapText="1"/>
    </xf>
    <xf numFmtId="0" fontId="4" fillId="9" borderId="0" xfId="1" applyFont="1" applyFill="1"/>
    <xf numFmtId="4" fontId="9" fillId="2" borderId="0" xfId="1" applyNumberFormat="1" applyFont="1" applyFill="1" applyAlignment="1">
      <alignment horizontal="left" vertical="top"/>
    </xf>
    <xf numFmtId="0" fontId="4" fillId="0" borderId="0" xfId="1" applyFont="1" applyBorder="1"/>
    <xf numFmtId="0" fontId="4" fillId="2" borderId="0" xfId="1" applyFont="1" applyFill="1" applyBorder="1"/>
    <xf numFmtId="4" fontId="4" fillId="2" borderId="0" xfId="1" applyNumberFormat="1" applyFont="1" applyFill="1" applyBorder="1" applyAlignment="1">
      <alignment horizontal="center" vertical="top" wrapText="1"/>
    </xf>
    <xf numFmtId="4" fontId="6" fillId="3" borderId="9" xfId="1" applyNumberFormat="1" applyFont="1" applyFill="1" applyBorder="1"/>
    <xf numFmtId="4" fontId="4" fillId="0" borderId="9" xfId="1" applyNumberFormat="1" applyFont="1" applyFill="1" applyBorder="1"/>
    <xf numFmtId="168" fontId="4" fillId="0" borderId="9" xfId="1" applyNumberFormat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8" xfId="1" applyFont="1" applyFill="1" applyBorder="1"/>
    <xf numFmtId="0" fontId="7" fillId="0" borderId="8" xfId="1" applyFont="1" applyFill="1" applyBorder="1"/>
    <xf numFmtId="0" fontId="7" fillId="0" borderId="9" xfId="1" applyFont="1" applyFill="1" applyBorder="1"/>
    <xf numFmtId="3" fontId="7" fillId="0" borderId="8" xfId="1" applyNumberFormat="1" applyFont="1" applyFill="1" applyBorder="1"/>
    <xf numFmtId="3" fontId="7" fillId="0" borderId="9" xfId="1" applyNumberFormat="1" applyFont="1" applyFill="1" applyBorder="1"/>
    <xf numFmtId="0" fontId="18" fillId="0" borderId="0" xfId="0" applyFont="1" applyFill="1"/>
    <xf numFmtId="4" fontId="4" fillId="0" borderId="0" xfId="1" applyNumberFormat="1" applyFont="1" applyFill="1"/>
    <xf numFmtId="0" fontId="4" fillId="10" borderId="0" xfId="1" applyFont="1" applyFill="1"/>
    <xf numFmtId="0" fontId="4" fillId="0" borderId="0" xfId="1" applyFont="1" applyFill="1" applyBorder="1"/>
    <xf numFmtId="166" fontId="7" fillId="0" borderId="10" xfId="1" applyNumberFormat="1" applyFont="1" applyFill="1" applyBorder="1"/>
    <xf numFmtId="0" fontId="4" fillId="0" borderId="7" xfId="1" applyFont="1" applyFill="1" applyBorder="1"/>
    <xf numFmtId="4" fontId="7" fillId="0" borderId="7" xfId="1" applyNumberFormat="1" applyFont="1" applyFill="1" applyBorder="1"/>
    <xf numFmtId="166" fontId="4" fillId="0" borderId="7" xfId="1" applyNumberFormat="1" applyFont="1" applyFill="1" applyBorder="1"/>
    <xf numFmtId="166" fontId="7" fillId="0" borderId="7" xfId="1" applyNumberFormat="1" applyFont="1" applyFill="1" applyBorder="1"/>
    <xf numFmtId="166" fontId="7" fillId="0" borderId="17" xfId="1" applyNumberFormat="1" applyFont="1" applyFill="1" applyBorder="1"/>
    <xf numFmtId="4" fontId="7" fillId="0" borderId="18" xfId="1" applyNumberFormat="1" applyFont="1" applyFill="1" applyBorder="1"/>
    <xf numFmtId="0" fontId="4" fillId="0" borderId="10" xfId="1" applyFont="1" applyFill="1" applyBorder="1"/>
    <xf numFmtId="166" fontId="4" fillId="0" borderId="10" xfId="1" applyNumberFormat="1" applyFont="1" applyFill="1" applyBorder="1"/>
    <xf numFmtId="0" fontId="9" fillId="0" borderId="0" xfId="1" applyFont="1" applyFill="1" applyBorder="1"/>
    <xf numFmtId="172" fontId="4" fillId="0" borderId="9" xfId="1" applyNumberFormat="1" applyFont="1" applyFill="1" applyBorder="1"/>
    <xf numFmtId="172" fontId="7" fillId="0" borderId="10" xfId="1" applyNumberFormat="1" applyFont="1" applyFill="1" applyBorder="1"/>
    <xf numFmtId="166" fontId="4" fillId="0" borderId="20" xfId="1" applyNumberFormat="1" applyFont="1" applyFill="1" applyBorder="1"/>
    <xf numFmtId="0" fontId="7" fillId="0" borderId="22" xfId="1" applyFont="1" applyBorder="1"/>
    <xf numFmtId="0" fontId="7" fillId="0" borderId="20" xfId="1" applyFont="1" applyBorder="1"/>
    <xf numFmtId="4" fontId="7" fillId="0" borderId="20" xfId="1" applyNumberFormat="1" applyFont="1" applyBorder="1"/>
    <xf numFmtId="0" fontId="7" fillId="3" borderId="9" xfId="1" applyFont="1" applyFill="1" applyBorder="1"/>
    <xf numFmtId="0" fontId="4" fillId="3" borderId="9" xfId="1" applyFont="1" applyFill="1" applyBorder="1"/>
    <xf numFmtId="0" fontId="6" fillId="3" borderId="9" xfId="1" applyFont="1" applyFill="1" applyBorder="1" applyAlignment="1">
      <alignment horizontal="center"/>
    </xf>
    <xf numFmtId="4" fontId="8" fillId="3" borderId="9" xfId="1" applyNumberFormat="1" applyFont="1" applyFill="1" applyBorder="1"/>
    <xf numFmtId="4" fontId="6" fillId="2" borderId="1" xfId="1" applyNumberFormat="1" applyFont="1" applyFill="1" applyBorder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top"/>
    </xf>
    <xf numFmtId="0" fontId="6" fillId="2" borderId="4" xfId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12" xfId="1" applyNumberFormat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 vertical="center" wrapText="1"/>
    </xf>
    <xf numFmtId="4" fontId="6" fillId="2" borderId="14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6" fillId="2" borderId="4" xfId="1" applyNumberFormat="1" applyFont="1" applyFill="1" applyBorder="1" applyAlignment="1">
      <alignment horizontal="center" vertical="top" wrapText="1"/>
    </xf>
    <xf numFmtId="4" fontId="6" fillId="2" borderId="6" xfId="1" applyNumberFormat="1" applyFont="1" applyFill="1" applyBorder="1" applyAlignment="1">
      <alignment horizontal="center" vertical="top" wrapText="1"/>
    </xf>
    <xf numFmtId="4" fontId="6" fillId="2" borderId="5" xfId="1" applyNumberFormat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/>
    </xf>
  </cellXfs>
  <cellStyles count="29">
    <cellStyle name="Обычный" xfId="0" builtinId="0"/>
    <cellStyle name="Обычный 10" xfId="2"/>
    <cellStyle name="Обычный 2" xfId="1"/>
    <cellStyle name="Обычный 2 2" xfId="15"/>
    <cellStyle name="Обычный 2 3" xfId="6"/>
    <cellStyle name="Обычный 2 4" xfId="13"/>
    <cellStyle name="Обычный 3" xfId="3"/>
    <cellStyle name="Обычный 3 2" xfId="12"/>
    <cellStyle name="Обычный 4" xfId="4"/>
    <cellStyle name="Обычный 4 2" xfId="16"/>
    <cellStyle name="Обычный 4 3" xfId="14"/>
    <cellStyle name="Обычный 4 4" xfId="20"/>
    <cellStyle name="Обычный 5" xfId="5"/>
    <cellStyle name="Обычный 5 2" xfId="17"/>
    <cellStyle name="Обычный 5 2 2" xfId="22"/>
    <cellStyle name="Обычный 5 3" xfId="21"/>
    <cellStyle name="Обычный 6" xfId="18"/>
    <cellStyle name="Обычный 6 2" xfId="23"/>
    <cellStyle name="Обычный 7" xfId="19"/>
    <cellStyle name="Процентный 2" xfId="10"/>
    <cellStyle name="Процентный 2 2" xfId="24"/>
    <cellStyle name="Финансовый 2" xfId="11"/>
    <cellStyle name="Финансовый 2 2" xfId="25"/>
    <cellStyle name="Финансовый 3" xfId="8"/>
    <cellStyle name="Финансовый 3 2" xfId="26"/>
    <cellStyle name="Финансовый 4" xfId="9"/>
    <cellStyle name="Финансовый 4 2" xfId="27"/>
    <cellStyle name="Финансовый 4 5" xfId="7"/>
    <cellStyle name="Финансовый 4 5 2" xfId="28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1BEB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291&#1054;&#1044;%20&#1086;&#1090;%2008072021%202019-21\&#1052;&#1046;&#1050;&#1061;%20&#1055;&#1088;&#1086;&#1077;&#1082;&#1090;%20&#1050;&#1055;&#1050;&#1056;%202019-2021%20&#1080;&#1102;&#1085;&#1100;.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309&#1054;&#1044;%20&#1086;&#1090;%2023072021%202022-2024&#1075;&#1075;\&#1055;&#1088;&#1080;&#1083;&#1086;&#1078;&#1077;&#1085;&#1080;&#1103;%20&#1050;&#1055;&#1050;&#1056;%202022-2024_&#1080;&#1102;&#1083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87;&#1088;&#1080;&#1082;&#1072;&#1079;%20&#1050;&#1055;&#1050;&#1056;%202019-2021%20&#1072;&#1082;&#1090;&#1091;&#1072;&#1083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55;&#1088;&#1086;&#1077;&#1082;&#1090;%20&#1050;&#1055;&#1050;&#1056;%202019-2021%2004.02.22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6;&#1077;&#1077;&#1089;&#1090;&#1088;%20&#1079;&#1072;%20&#1076;&#1077;&#1082;&#1072;&#1073;&#1088;&#1100;%202%20&#1090;&#1088;&#1072;&#1085;&#10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42;&#1085;&#1077;&#1089;%20&#1080;&#1079;&#1084;\&#1055;&#1088;&#1086;&#1077;&#1082;&#1090;%20&#1050;&#1055;&#1050;&#1056;%202019-2021%20&#1074;%20&#1052;&#1046;&#1050;&#10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5;&#1088;&#1080;&#1083;&#1086;&#1078;&#1077;&#1085;&#1080;&#1103;%20&#1050;&#1055;&#1050;&#1056;%202022-2024_&#1080;&#1102;&#1083;&#1100;%20&#1080;&#1079;&#108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%20&#1074;%20&#1052;&#1046;&#1050;&#1061;%20&#1088;&#1077;&#1076;%20&#1080;&#1089;&#1087;&#1088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_&#1048;&#1058;&#1054;&#1043;%20&#1080;&#1079;&#1084;&#1077;&#1085;0211%20&#1086;&#1087;&#1083;&#1072;&#1090;&#1099;%20&#1080;&#1089;&#1090;%2028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2\&#1041;&#1091;&#1093;&#1075;&#1072;&#1083;&#1090;&#1077;&#1088;&#1080;&#1103;\&#1060;&#1072;&#1081;&#1083;&#1099;%20&#1073;&#1091;&#1093;&#1075;&#1072;&#1083;&#1090;&#1077;&#1088;&#1080;&#1080;\&#1041;&#1091;&#1093;&#1075;&#1072;&#1083;&#1090;&#1077;&#1088;&#1080;&#1103;\&#1047;&#1072;&#1103;&#1074;&#1082;&#1080;%20&#1085;&#1072;%20&#1043;&#1041;\&#1086;&#1089;&#1074;&#1086;&#1077;&#1085;&#1080;&#1077;%20&#1089;&#1088;&#1077;&#1076;&#1089;&#1090;&#1074;%20&#1089;&#1091;&#1073;&#1089;&#1080;&#1076;&#1080;&#1080;%202022%20&#1075;&#1086;&#1076;&#10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4;&#1087;&#1083;&#1072;&#1090;&#1072;%20&#1050;&#1055;&#1050;&#1056;%202019-2021&#1075;&#1075;.%20&#1085;&#1072;%2027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 2 оконч"/>
      <sheetName val="Лист1"/>
      <sheetName val="Приложение №3"/>
    </sheetNames>
    <sheetDataSet>
      <sheetData sheetId="0">
        <row r="12">
          <cell r="P12" t="str">
            <v>руб</v>
          </cell>
        </row>
        <row r="174">
          <cell r="P174">
            <v>2363725.37</v>
          </cell>
        </row>
        <row r="175">
          <cell r="P175">
            <v>6462975.75</v>
          </cell>
        </row>
        <row r="187">
          <cell r="P187">
            <v>5201625.47</v>
          </cell>
        </row>
        <row r="215">
          <cell r="P215">
            <v>0</v>
          </cell>
        </row>
        <row r="217">
          <cell r="P217">
            <v>685311.5</v>
          </cell>
        </row>
        <row r="219">
          <cell r="P219">
            <v>2742167.74</v>
          </cell>
        </row>
        <row r="270">
          <cell r="P270">
            <v>0</v>
          </cell>
        </row>
        <row r="344">
          <cell r="P344">
            <v>5669160.790000001</v>
          </cell>
        </row>
        <row r="345">
          <cell r="P345">
            <v>8474001.9285000004</v>
          </cell>
        </row>
        <row r="358">
          <cell r="P358">
            <v>3212625.9276756034</v>
          </cell>
        </row>
        <row r="359">
          <cell r="P359">
            <v>10239275.208710328</v>
          </cell>
        </row>
        <row r="360">
          <cell r="P360">
            <v>8282321.9184000008</v>
          </cell>
        </row>
        <row r="361">
          <cell r="P361">
            <v>27818789.569609597</v>
          </cell>
        </row>
        <row r="366">
          <cell r="P366">
            <v>12906929.591843799</v>
          </cell>
        </row>
        <row r="367">
          <cell r="P367">
            <v>48175526.110926934</v>
          </cell>
        </row>
        <row r="369">
          <cell r="P369">
            <v>27399966.514761567</v>
          </cell>
        </row>
        <row r="372">
          <cell r="P372">
            <v>6374848.4797866829</v>
          </cell>
        </row>
        <row r="375">
          <cell r="P375">
            <v>2058131.57</v>
          </cell>
        </row>
        <row r="376">
          <cell r="P376">
            <v>1427823.2759999998</v>
          </cell>
        </row>
        <row r="388">
          <cell r="P388">
            <v>1207789.547</v>
          </cell>
        </row>
        <row r="392">
          <cell r="P392">
            <v>8781068.4495000001</v>
          </cell>
        </row>
        <row r="397">
          <cell r="P397">
            <v>2141124.9173050486</v>
          </cell>
        </row>
        <row r="399">
          <cell r="P399">
            <v>25930308.993724361</v>
          </cell>
        </row>
        <row r="409">
          <cell r="P409">
            <v>8892758.499400001</v>
          </cell>
        </row>
        <row r="414">
          <cell r="P414">
            <v>14292902.076399997</v>
          </cell>
        </row>
        <row r="423">
          <cell r="P423">
            <v>7397275.0824999996</v>
          </cell>
        </row>
        <row r="430">
          <cell r="P430">
            <v>21637631.2425</v>
          </cell>
        </row>
        <row r="433">
          <cell r="P433">
            <v>48635189.735800005</v>
          </cell>
        </row>
        <row r="436">
          <cell r="P436">
            <v>3266783.6526328963</v>
          </cell>
        </row>
        <row r="445">
          <cell r="P445">
            <v>1946733.0500000003</v>
          </cell>
        </row>
        <row r="447">
          <cell r="P447">
            <v>1971017.5200000005</v>
          </cell>
        </row>
        <row r="449">
          <cell r="P449">
            <v>6115146.2634999985</v>
          </cell>
        </row>
        <row r="455">
          <cell r="P455">
            <v>708248.36999999965</v>
          </cell>
        </row>
        <row r="474">
          <cell r="P474">
            <v>3230114.3299999996</v>
          </cell>
        </row>
        <row r="480">
          <cell r="P480">
            <v>3540618.4304999998</v>
          </cell>
        </row>
        <row r="499">
          <cell r="P499">
            <v>2417299.0020772759</v>
          </cell>
        </row>
        <row r="501">
          <cell r="P501">
            <v>28044838.289283924</v>
          </cell>
        </row>
        <row r="502">
          <cell r="P502">
            <v>39607141.98520001</v>
          </cell>
        </row>
        <row r="508">
          <cell r="P508">
            <v>3043125.2616376868</v>
          </cell>
        </row>
        <row r="538">
          <cell r="P538">
            <v>6290464.21</v>
          </cell>
        </row>
        <row r="539">
          <cell r="P539">
            <v>8257059.5300000012</v>
          </cell>
        </row>
        <row r="545">
          <cell r="P545">
            <v>2771426.102</v>
          </cell>
        </row>
        <row r="546">
          <cell r="P546">
            <v>1000112.8675000001</v>
          </cell>
        </row>
        <row r="553">
          <cell r="P553">
            <v>40099220.361245915</v>
          </cell>
        </row>
        <row r="554">
          <cell r="P554">
            <v>40049208.433561467</v>
          </cell>
        </row>
        <row r="555">
          <cell r="P555">
            <v>7221589.5544595318</v>
          </cell>
        </row>
        <row r="556">
          <cell r="P556">
            <v>816731.98752960004</v>
          </cell>
        </row>
        <row r="557">
          <cell r="P557">
            <v>5341171.9225030383</v>
          </cell>
        </row>
        <row r="558">
          <cell r="P558">
            <v>2026099.6597644801</v>
          </cell>
        </row>
        <row r="560">
          <cell r="P560">
            <v>2239496.2140982077</v>
          </cell>
        </row>
        <row r="562">
          <cell r="P562">
            <v>28665187.773628131</v>
          </cell>
        </row>
        <row r="565">
          <cell r="P565">
            <v>16495252.352266515</v>
          </cell>
        </row>
        <row r="566">
          <cell r="P566">
            <v>2866781.0066559846</v>
          </cell>
        </row>
        <row r="567">
          <cell r="P567">
            <v>18473460.392044522</v>
          </cell>
        </row>
        <row r="568">
          <cell r="P568">
            <v>17081719.062643237</v>
          </cell>
        </row>
        <row r="570">
          <cell r="P570">
            <v>5098440.0444</v>
          </cell>
        </row>
        <row r="573">
          <cell r="P573">
            <v>7886958.9318995066</v>
          </cell>
        </row>
        <row r="574">
          <cell r="P574">
            <v>23851388.807221878</v>
          </cell>
        </row>
        <row r="576">
          <cell r="P576">
            <v>8156953.7981021646</v>
          </cell>
        </row>
        <row r="577">
          <cell r="P577">
            <v>10685552.058069635</v>
          </cell>
        </row>
        <row r="579">
          <cell r="P579">
            <v>4184215.5831091204</v>
          </cell>
        </row>
        <row r="580">
          <cell r="P580">
            <v>3914483.4459999995</v>
          </cell>
        </row>
        <row r="583">
          <cell r="P583">
            <v>6830056.5820000004</v>
          </cell>
        </row>
        <row r="588">
          <cell r="P588">
            <v>28141371.31630424</v>
          </cell>
        </row>
        <row r="589">
          <cell r="P589">
            <v>5145776.9582268819</v>
          </cell>
        </row>
        <row r="594">
          <cell r="P594">
            <v>6704672.5946912011</v>
          </cell>
        </row>
        <row r="596">
          <cell r="P596">
            <v>5148341.6700000018</v>
          </cell>
        </row>
        <row r="597">
          <cell r="P597">
            <v>10176929.95315839</v>
          </cell>
        </row>
        <row r="598">
          <cell r="P598">
            <v>24248728.277484797</v>
          </cell>
        </row>
        <row r="601">
          <cell r="P601">
            <v>5171687.5833200011</v>
          </cell>
        </row>
        <row r="604">
          <cell r="P604">
            <v>26420103.173131198</v>
          </cell>
        </row>
        <row r="606">
          <cell r="P606">
            <v>7823686.9100000001</v>
          </cell>
        </row>
        <row r="617">
          <cell r="P617">
            <v>1485012.06</v>
          </cell>
        </row>
        <row r="623">
          <cell r="P623">
            <v>10532880.890000001</v>
          </cell>
        </row>
        <row r="624">
          <cell r="P624">
            <v>10447038.340000002</v>
          </cell>
        </row>
        <row r="631">
          <cell r="P631">
            <v>986211.37</v>
          </cell>
        </row>
        <row r="632">
          <cell r="P632">
            <v>1620919.07</v>
          </cell>
        </row>
        <row r="633">
          <cell r="P633">
            <v>4933960.2399999993</v>
          </cell>
        </row>
        <row r="648">
          <cell r="P648">
            <v>1225249.3700000001</v>
          </cell>
        </row>
        <row r="650">
          <cell r="P650">
            <v>1213023.8500000001</v>
          </cell>
        </row>
        <row r="651">
          <cell r="P651">
            <v>1447954.3899999997</v>
          </cell>
        </row>
        <row r="652">
          <cell r="P652">
            <v>9803415.6300000008</v>
          </cell>
        </row>
        <row r="653">
          <cell r="P653">
            <v>19027519.629999999</v>
          </cell>
        </row>
        <row r="654">
          <cell r="P654">
            <v>34433389.130800001</v>
          </cell>
        </row>
        <row r="655">
          <cell r="P655">
            <v>1580265.24</v>
          </cell>
        </row>
        <row r="656">
          <cell r="P656">
            <v>28975385.801800434</v>
          </cell>
        </row>
        <row r="657">
          <cell r="P657">
            <v>6551528.46</v>
          </cell>
        </row>
        <row r="658">
          <cell r="P658">
            <v>1450140.1899999995</v>
          </cell>
        </row>
        <row r="669">
          <cell r="P669">
            <v>11181802.715720028</v>
          </cell>
        </row>
        <row r="670">
          <cell r="P670">
            <v>7863588.1700000009</v>
          </cell>
        </row>
        <row r="671">
          <cell r="P671">
            <v>8170503.7699999996</v>
          </cell>
        </row>
        <row r="672">
          <cell r="P672">
            <v>1002752.7899999999</v>
          </cell>
        </row>
        <row r="677">
          <cell r="P677">
            <v>24055432.11999999</v>
          </cell>
        </row>
        <row r="678">
          <cell r="P678">
            <v>12865130.34</v>
          </cell>
        </row>
        <row r="682">
          <cell r="P682">
            <v>7146554.0138883237</v>
          </cell>
        </row>
        <row r="683">
          <cell r="P683">
            <v>7237481.2999999989</v>
          </cell>
        </row>
        <row r="684">
          <cell r="P684">
            <v>10769928.65</v>
          </cell>
        </row>
        <row r="685">
          <cell r="P685">
            <v>7114183.0864195572</v>
          </cell>
        </row>
        <row r="687">
          <cell r="P687">
            <v>8426864.2400000002</v>
          </cell>
        </row>
        <row r="688">
          <cell r="P688">
            <v>1641039.36</v>
          </cell>
        </row>
        <row r="689">
          <cell r="P689">
            <v>1587263.4800000002</v>
          </cell>
        </row>
        <row r="691">
          <cell r="P691">
            <v>26357429.569999997</v>
          </cell>
        </row>
        <row r="692">
          <cell r="P692">
            <v>6275488.2600000007</v>
          </cell>
        </row>
        <row r="696">
          <cell r="P696">
            <v>6285951.6399999987</v>
          </cell>
        </row>
        <row r="700">
          <cell r="P700">
            <v>873022.10000000033</v>
          </cell>
        </row>
        <row r="701">
          <cell r="P701">
            <v>13284599.360365851</v>
          </cell>
        </row>
        <row r="704">
          <cell r="P704">
            <v>13466069.899999995</v>
          </cell>
        </row>
        <row r="715">
          <cell r="P715">
            <v>1713873.6500000004</v>
          </cell>
        </row>
        <row r="716">
          <cell r="P716">
            <v>431533.13999999996</v>
          </cell>
        </row>
        <row r="718">
          <cell r="P718">
            <v>11025353.929999998</v>
          </cell>
        </row>
        <row r="721">
          <cell r="P721">
            <v>19605046.867199995</v>
          </cell>
        </row>
        <row r="723">
          <cell r="P723">
            <v>847786.43000000017</v>
          </cell>
        </row>
        <row r="725">
          <cell r="P725">
            <v>21032753.059999991</v>
          </cell>
        </row>
        <row r="726">
          <cell r="P726">
            <v>17481095.170000002</v>
          </cell>
        </row>
        <row r="727">
          <cell r="P727">
            <v>428780.35</v>
          </cell>
        </row>
        <row r="738">
          <cell r="P738">
            <v>2583043.7780267852</v>
          </cell>
        </row>
        <row r="741">
          <cell r="P741">
            <v>1585258.8399999999</v>
          </cell>
        </row>
        <row r="742">
          <cell r="P742">
            <v>3588862.6807772806</v>
          </cell>
        </row>
        <row r="743">
          <cell r="P743">
            <v>2685397.8447520756</v>
          </cell>
        </row>
        <row r="744">
          <cell r="P744">
            <v>497150.82692000008</v>
          </cell>
        </row>
        <row r="745">
          <cell r="P745">
            <v>465424.49468000012</v>
          </cell>
        </row>
        <row r="749">
          <cell r="P749">
            <v>603292.1</v>
          </cell>
        </row>
        <row r="750">
          <cell r="P750">
            <v>116961.11378439551</v>
          </cell>
        </row>
        <row r="751">
          <cell r="P751">
            <v>1136772.4099999997</v>
          </cell>
        </row>
        <row r="752">
          <cell r="P752">
            <v>12372597.263280006</v>
          </cell>
        </row>
        <row r="753">
          <cell r="P753">
            <v>5306003.8536799997</v>
          </cell>
        </row>
        <row r="754">
          <cell r="P754">
            <v>12126434.166819995</v>
          </cell>
        </row>
        <row r="755">
          <cell r="P755">
            <v>10814547.200800002</v>
          </cell>
        </row>
        <row r="756">
          <cell r="P756">
            <v>5490989.4344400009</v>
          </cell>
        </row>
        <row r="757">
          <cell r="P757">
            <v>532961.78088000009</v>
          </cell>
        </row>
        <row r="759">
          <cell r="P759">
            <v>2017885.0799999998</v>
          </cell>
        </row>
        <row r="766">
          <cell r="P766">
            <v>506808.78281999991</v>
          </cell>
        </row>
        <row r="767">
          <cell r="P767">
            <v>493322.84271999996</v>
          </cell>
        </row>
        <row r="768">
          <cell r="P768">
            <v>591869.62</v>
          </cell>
        </row>
        <row r="787">
          <cell r="P787">
            <v>1285012.1973470973</v>
          </cell>
        </row>
        <row r="789">
          <cell r="P789">
            <v>809.12267032312229</v>
          </cell>
        </row>
        <row r="790">
          <cell r="P790">
            <v>841.70926662790589</v>
          </cell>
        </row>
        <row r="791">
          <cell r="P791">
            <v>33452097.220000006</v>
          </cell>
        </row>
        <row r="794">
          <cell r="P794">
            <v>19830505.039999999</v>
          </cell>
        </row>
        <row r="818">
          <cell r="P818">
            <v>18300388.142200004</v>
          </cell>
        </row>
        <row r="819">
          <cell r="P819">
            <v>66289382.134580001</v>
          </cell>
        </row>
        <row r="821">
          <cell r="P821">
            <v>148351921.83200002</v>
          </cell>
        </row>
        <row r="827">
          <cell r="P827">
            <v>6101859.348490933</v>
          </cell>
        </row>
        <row r="828">
          <cell r="P828">
            <v>32266248.896784753</v>
          </cell>
        </row>
        <row r="829">
          <cell r="P829">
            <v>48936176.430000007</v>
          </cell>
        </row>
        <row r="830">
          <cell r="P830">
            <v>40604811.628484815</v>
          </cell>
        </row>
        <row r="831">
          <cell r="P831">
            <v>122344830.23280141</v>
          </cell>
        </row>
        <row r="832">
          <cell r="P832">
            <v>3314210.0573726771</v>
          </cell>
        </row>
        <row r="833">
          <cell r="P833">
            <v>37138570.70000001</v>
          </cell>
        </row>
        <row r="859">
          <cell r="P859">
            <v>11744157.99</v>
          </cell>
        </row>
        <row r="860">
          <cell r="P860">
            <v>11533143.700000001</v>
          </cell>
        </row>
        <row r="885">
          <cell r="P885">
            <v>17778030.9716</v>
          </cell>
        </row>
        <row r="886">
          <cell r="P886">
            <v>8799079.7368000001</v>
          </cell>
        </row>
        <row r="887">
          <cell r="P887">
            <v>1811060.4200000004</v>
          </cell>
        </row>
        <row r="893">
          <cell r="P893">
            <v>806022.15999999992</v>
          </cell>
        </row>
        <row r="894">
          <cell r="P894">
            <v>2193864.8199999998</v>
          </cell>
        </row>
        <row r="895">
          <cell r="P895">
            <v>601362.61320000002</v>
          </cell>
        </row>
        <row r="896">
          <cell r="P896">
            <v>581172.29899999988</v>
          </cell>
        </row>
        <row r="898">
          <cell r="P898">
            <v>12579404.312328</v>
          </cell>
        </row>
        <row r="899">
          <cell r="P899">
            <v>2142622.9</v>
          </cell>
        </row>
        <row r="900">
          <cell r="P900">
            <v>1668497.8999999997</v>
          </cell>
        </row>
        <row r="901">
          <cell r="P901">
            <v>1458277.14</v>
          </cell>
        </row>
        <row r="903">
          <cell r="P903">
            <v>3195547.7599999984</v>
          </cell>
        </row>
        <row r="909">
          <cell r="P909">
            <v>12091200.899999999</v>
          </cell>
        </row>
        <row r="910">
          <cell r="P910">
            <v>3288676.0245547546</v>
          </cell>
        </row>
        <row r="911">
          <cell r="P911">
            <v>2370633.8205407565</v>
          </cell>
        </row>
        <row r="912">
          <cell r="P912">
            <v>16490483.210000006</v>
          </cell>
        </row>
        <row r="913">
          <cell r="P913">
            <v>4227643.7600000016</v>
          </cell>
        </row>
        <row r="915">
          <cell r="P915">
            <v>4756032.2523279293</v>
          </cell>
        </row>
        <row r="917">
          <cell r="P917">
            <v>17848233.791126687</v>
          </cell>
        </row>
        <row r="919">
          <cell r="P919">
            <v>20428886.040454783</v>
          </cell>
        </row>
        <row r="921">
          <cell r="P921">
            <v>14072598.210892042</v>
          </cell>
        </row>
        <row r="925">
          <cell r="P925">
            <v>6576526.0310109407</v>
          </cell>
        </row>
        <row r="926">
          <cell r="P926">
            <v>14878178.660376798</v>
          </cell>
        </row>
        <row r="927">
          <cell r="P927">
            <v>25984512.302376568</v>
          </cell>
        </row>
        <row r="928">
          <cell r="P928">
            <v>18207762.43532753</v>
          </cell>
        </row>
        <row r="929">
          <cell r="P929">
            <v>22233944.550541572</v>
          </cell>
        </row>
        <row r="941">
          <cell r="P941">
            <v>4390633.6664937465</v>
          </cell>
        </row>
        <row r="943">
          <cell r="P943">
            <v>29815433.570424493</v>
          </cell>
        </row>
        <row r="944">
          <cell r="P944">
            <v>28094922.900854893</v>
          </cell>
        </row>
        <row r="945">
          <cell r="P945">
            <v>14108769.969636556</v>
          </cell>
        </row>
        <row r="946">
          <cell r="P946">
            <v>6817924.8814827744</v>
          </cell>
        </row>
        <row r="947">
          <cell r="P947">
            <v>11018935.901861956</v>
          </cell>
        </row>
        <row r="948">
          <cell r="P948">
            <v>9980846.7527248561</v>
          </cell>
        </row>
        <row r="949">
          <cell r="P949">
            <v>5766583.3613934321</v>
          </cell>
        </row>
        <row r="950">
          <cell r="P950">
            <v>10069888.173097901</v>
          </cell>
        </row>
        <row r="951">
          <cell r="P951">
            <v>18965713.13870208</v>
          </cell>
        </row>
        <row r="954">
          <cell r="P954">
            <v>1437551.2791203777</v>
          </cell>
        </row>
        <row r="955">
          <cell r="P955">
            <v>10520055.546183784</v>
          </cell>
        </row>
        <row r="957">
          <cell r="P957">
            <v>12220493.678480946</v>
          </cell>
        </row>
        <row r="958">
          <cell r="P958">
            <v>5871732.7855256665</v>
          </cell>
        </row>
        <row r="959">
          <cell r="P959">
            <v>24260807.389634863</v>
          </cell>
        </row>
        <row r="960">
          <cell r="P960">
            <v>12951071.874534598</v>
          </cell>
        </row>
        <row r="961">
          <cell r="P961">
            <v>1934882.2056601597</v>
          </cell>
        </row>
        <row r="962">
          <cell r="P962">
            <v>11762187.555496641</v>
          </cell>
        </row>
        <row r="963">
          <cell r="P963">
            <v>13831191.641399138</v>
          </cell>
        </row>
        <row r="964">
          <cell r="P964">
            <v>17659630.273666978</v>
          </cell>
        </row>
        <row r="966">
          <cell r="P966">
            <v>17080581.039999999</v>
          </cell>
        </row>
        <row r="967">
          <cell r="P967">
            <v>18237155.57859413</v>
          </cell>
        </row>
        <row r="968">
          <cell r="P968">
            <v>3817374.0458746403</v>
          </cell>
        </row>
        <row r="969">
          <cell r="P969">
            <v>15211476.056563497</v>
          </cell>
        </row>
        <row r="971">
          <cell r="P971">
            <v>23221631.233672258</v>
          </cell>
        </row>
        <row r="972">
          <cell r="P972">
            <v>27753522.364027523</v>
          </cell>
        </row>
        <row r="973">
          <cell r="P973">
            <v>8919313.6635088157</v>
          </cell>
        </row>
        <row r="974">
          <cell r="P974">
            <v>8846201.374019675</v>
          </cell>
        </row>
        <row r="975">
          <cell r="P975">
            <v>28589031.519116439</v>
          </cell>
        </row>
        <row r="976">
          <cell r="P976">
            <v>8903939.4338173456</v>
          </cell>
        </row>
        <row r="977">
          <cell r="P977">
            <v>24186490.671907838</v>
          </cell>
        </row>
        <row r="978">
          <cell r="P978">
            <v>7684839.2223156653</v>
          </cell>
        </row>
        <row r="979">
          <cell r="P979">
            <v>1215979.3767552001</v>
          </cell>
        </row>
        <row r="980">
          <cell r="P980">
            <v>4731974.7741556643</v>
          </cell>
        </row>
        <row r="981">
          <cell r="P981">
            <v>1554318.958804019</v>
          </cell>
        </row>
        <row r="982">
          <cell r="P982">
            <v>2994031.6609295118</v>
          </cell>
        </row>
        <row r="983">
          <cell r="P983">
            <v>5985266.5224130061</v>
          </cell>
        </row>
        <row r="987">
          <cell r="P987">
            <v>6819202.2191549866</v>
          </cell>
        </row>
        <row r="988">
          <cell r="P988">
            <v>13252883.389134357</v>
          </cell>
        </row>
        <row r="989">
          <cell r="P989">
            <v>9963680.7092695031</v>
          </cell>
        </row>
        <row r="992">
          <cell r="P992">
            <v>63171748.709999993</v>
          </cell>
        </row>
        <row r="999">
          <cell r="P999">
            <v>8497246.2100000046</v>
          </cell>
        </row>
        <row r="1001">
          <cell r="P1001">
            <v>64643474.290000021</v>
          </cell>
        </row>
        <row r="1002">
          <cell r="P1002">
            <v>43897348.65613386</v>
          </cell>
        </row>
        <row r="1003">
          <cell r="P1003">
            <v>7701835.8562918426</v>
          </cell>
        </row>
        <row r="1004">
          <cell r="P1004">
            <v>2303834.2199999997</v>
          </cell>
        </row>
        <row r="1010">
          <cell r="P1010">
            <v>51631855.660000004</v>
          </cell>
        </row>
        <row r="1012">
          <cell r="P1012">
            <v>13417509.149284188</v>
          </cell>
        </row>
        <row r="1015">
          <cell r="P1015">
            <v>1847995.3600000003</v>
          </cell>
        </row>
        <row r="1017">
          <cell r="P1017">
            <v>36590119.474616945</v>
          </cell>
        </row>
        <row r="1019">
          <cell r="P1019">
            <v>24796712.34</v>
          </cell>
        </row>
        <row r="1021">
          <cell r="P1021">
            <v>9416982.5599999949</v>
          </cell>
        </row>
        <row r="1025">
          <cell r="P1025">
            <v>65670330.709999986</v>
          </cell>
        </row>
        <row r="1026">
          <cell r="P1026">
            <v>65727270.189999975</v>
          </cell>
        </row>
        <row r="1028">
          <cell r="P1028">
            <v>5482362.6731081679</v>
          </cell>
        </row>
        <row r="1029">
          <cell r="P1029">
            <v>52119676.309999995</v>
          </cell>
        </row>
        <row r="1032">
          <cell r="P1032">
            <v>52798757.289999999</v>
          </cell>
        </row>
        <row r="1033">
          <cell r="P1033">
            <v>2932829.410000002</v>
          </cell>
        </row>
        <row r="1034">
          <cell r="P1034">
            <v>65222997.340000004</v>
          </cell>
        </row>
        <row r="1035">
          <cell r="P1035">
            <v>93696867.900000021</v>
          </cell>
        </row>
        <row r="1036">
          <cell r="P1036">
            <v>8748252.5706708319</v>
          </cell>
        </row>
        <row r="1043">
          <cell r="P1043">
            <v>35951166.840000004</v>
          </cell>
        </row>
        <row r="1045">
          <cell r="P1045">
            <v>1455869.87</v>
          </cell>
        </row>
        <row r="1046">
          <cell r="P1046">
            <v>1108734.77</v>
          </cell>
        </row>
        <row r="1048">
          <cell r="P1048">
            <v>14922326.689999994</v>
          </cell>
        </row>
        <row r="1050">
          <cell r="P1050">
            <v>1118330.7392284828</v>
          </cell>
        </row>
        <row r="1051">
          <cell r="P1051">
            <v>1268282.5</v>
          </cell>
        </row>
        <row r="1052">
          <cell r="P1052">
            <v>1269331.67</v>
          </cell>
        </row>
        <row r="1053">
          <cell r="P1053">
            <v>18497250.609999996</v>
          </cell>
        </row>
        <row r="1060">
          <cell r="P1060">
            <v>11464763.279999999</v>
          </cell>
        </row>
        <row r="1061">
          <cell r="P1061">
            <v>7431629.629999999</v>
          </cell>
        </row>
        <row r="1064">
          <cell r="P1064">
            <v>13542180.720000004</v>
          </cell>
        </row>
        <row r="1068">
          <cell r="P1068">
            <v>12148295.499999996</v>
          </cell>
        </row>
        <row r="1069">
          <cell r="P1069">
            <v>12093197.939999992</v>
          </cell>
        </row>
        <row r="1070">
          <cell r="P1070">
            <v>9659265.1499999985</v>
          </cell>
        </row>
        <row r="1072">
          <cell r="P1072">
            <v>1457029.0322992411</v>
          </cell>
        </row>
        <row r="1073">
          <cell r="P1073">
            <v>20797016.224481054</v>
          </cell>
        </row>
        <row r="1074">
          <cell r="P1074">
            <v>65998108.789999999</v>
          </cell>
        </row>
        <row r="1077">
          <cell r="P1077">
            <v>65659331.5</v>
          </cell>
        </row>
        <row r="1079">
          <cell r="P1079">
            <v>8431110.9800000023</v>
          </cell>
        </row>
        <row r="1080">
          <cell r="P1080">
            <v>8322777.0799999982</v>
          </cell>
        </row>
        <row r="1081">
          <cell r="P1081">
            <v>8603487.7300000023</v>
          </cell>
        </row>
        <row r="1083">
          <cell r="P1083">
            <v>2448569.4107756615</v>
          </cell>
        </row>
        <row r="1084">
          <cell r="P1084">
            <v>2415840.9368203687</v>
          </cell>
        </row>
        <row r="1085">
          <cell r="P1085">
            <v>52246987.829999991</v>
          </cell>
        </row>
        <row r="1086">
          <cell r="P1086">
            <v>2342017.5099999988</v>
          </cell>
        </row>
        <row r="1087">
          <cell r="P1087">
            <v>16489502.430373427</v>
          </cell>
        </row>
        <row r="1088">
          <cell r="P1088">
            <v>60454696.109999992</v>
          </cell>
        </row>
        <row r="1089">
          <cell r="P1089">
            <v>28547933.829999998</v>
          </cell>
        </row>
        <row r="1090">
          <cell r="P1090">
            <v>35094850.840000004</v>
          </cell>
        </row>
        <row r="1092">
          <cell r="P1092">
            <v>3996414.1399999997</v>
          </cell>
        </row>
        <row r="1093">
          <cell r="P1093">
            <v>2465044.8999999976</v>
          </cell>
        </row>
        <row r="1094">
          <cell r="P1094">
            <v>94368777.570000008</v>
          </cell>
        </row>
        <row r="1095">
          <cell r="P1095">
            <v>95655317.060000017</v>
          </cell>
        </row>
        <row r="1096">
          <cell r="P1096">
            <v>94892283.810000002</v>
          </cell>
        </row>
        <row r="1097">
          <cell r="P1097">
            <v>15852112.299999997</v>
          </cell>
        </row>
        <row r="1098">
          <cell r="P1098">
            <v>1359490.6128280105</v>
          </cell>
        </row>
        <row r="1099">
          <cell r="P1099">
            <v>11000544.760000002</v>
          </cell>
        </row>
        <row r="1100">
          <cell r="P1100">
            <v>18722482.150000002</v>
          </cell>
        </row>
        <row r="1102">
          <cell r="P1102">
            <v>61217073.699999996</v>
          </cell>
        </row>
        <row r="1104">
          <cell r="P1104">
            <v>24456705.580000002</v>
          </cell>
        </row>
        <row r="1105">
          <cell r="P1105">
            <v>8268539.4699999997</v>
          </cell>
        </row>
        <row r="1106">
          <cell r="P1106">
            <v>72781036.74000001</v>
          </cell>
        </row>
        <row r="1107">
          <cell r="P1107">
            <v>94412072.299999997</v>
          </cell>
        </row>
        <row r="1108">
          <cell r="P1108">
            <v>52276528.400000006</v>
          </cell>
        </row>
        <row r="1120">
          <cell r="P1120">
            <v>3572379.398950994</v>
          </cell>
        </row>
        <row r="1123">
          <cell r="P1123">
            <v>2543660.9576276466</v>
          </cell>
        </row>
        <row r="1124">
          <cell r="P1124">
            <v>1587248.7344414375</v>
          </cell>
        </row>
        <row r="1125">
          <cell r="P1125">
            <v>1778614.2281470578</v>
          </cell>
        </row>
        <row r="1133">
          <cell r="P1133">
            <v>2372269.8085990548</v>
          </cell>
        </row>
        <row r="1134">
          <cell r="P1134">
            <v>5593158.5100000007</v>
          </cell>
        </row>
        <row r="1137">
          <cell r="P1137">
            <v>7958241.291535127</v>
          </cell>
        </row>
        <row r="1140">
          <cell r="P1140">
            <v>617261.36340000015</v>
          </cell>
        </row>
        <row r="1144">
          <cell r="P1144">
            <v>5611.935665362631</v>
          </cell>
        </row>
        <row r="1146">
          <cell r="P1146">
            <v>0</v>
          </cell>
        </row>
        <row r="1147">
          <cell r="P1147">
            <v>1.1641532182693481E-10</v>
          </cell>
        </row>
        <row r="1148">
          <cell r="P1148">
            <v>180715.81999999983</v>
          </cell>
        </row>
        <row r="1149">
          <cell r="P1149">
            <v>0</v>
          </cell>
        </row>
        <row r="1150">
          <cell r="P1150">
            <v>0</v>
          </cell>
        </row>
        <row r="1151">
          <cell r="P1151">
            <v>0</v>
          </cell>
        </row>
        <row r="1152">
          <cell r="P1152">
            <v>52553.28999999864</v>
          </cell>
        </row>
        <row r="1153">
          <cell r="P1153">
            <v>1372810.9600000002</v>
          </cell>
        </row>
        <row r="1154">
          <cell r="P1154">
            <v>5978159.5399999991</v>
          </cell>
        </row>
        <row r="1155">
          <cell r="P1155">
            <v>6921910.3999999976</v>
          </cell>
        </row>
        <row r="1157">
          <cell r="P1157">
            <v>0</v>
          </cell>
        </row>
        <row r="1158">
          <cell r="P1158">
            <v>0</v>
          </cell>
        </row>
        <row r="1166">
          <cell r="P1166">
            <v>1885117.3616406922</v>
          </cell>
        </row>
        <row r="1167">
          <cell r="P1167">
            <v>1914512.3699999973</v>
          </cell>
        </row>
        <row r="1168">
          <cell r="P1168">
            <v>2488360.9600000037</v>
          </cell>
        </row>
        <row r="1170">
          <cell r="P1170">
            <v>16049590.159999998</v>
          </cell>
        </row>
        <row r="1171">
          <cell r="P1171">
            <v>16934428.490000002</v>
          </cell>
        </row>
        <row r="1172">
          <cell r="P1172">
            <v>15375482.269999996</v>
          </cell>
        </row>
        <row r="1173">
          <cell r="P1173">
            <v>33315141.399999987</v>
          </cell>
        </row>
        <row r="1174">
          <cell r="P1174">
            <v>33643444.510000005</v>
          </cell>
        </row>
        <row r="1176">
          <cell r="P1176">
            <v>33829950.399999991</v>
          </cell>
        </row>
        <row r="1177">
          <cell r="P1177">
            <v>19868047.289999999</v>
          </cell>
        </row>
        <row r="1178">
          <cell r="P1178">
            <v>24438300.879999999</v>
          </cell>
        </row>
        <row r="1179">
          <cell r="P1179">
            <v>18686894.260000005</v>
          </cell>
        </row>
        <row r="1181">
          <cell r="P1181">
            <v>3587960.17</v>
          </cell>
        </row>
        <row r="1188">
          <cell r="P1188">
            <v>108118883.23000002</v>
          </cell>
        </row>
        <row r="1191">
          <cell r="P1191">
            <v>999114.17999999993</v>
          </cell>
        </row>
        <row r="1192">
          <cell r="P1192">
            <v>6037471.3100000005</v>
          </cell>
        </row>
        <row r="1194">
          <cell r="P1194">
            <v>12507089.560000002</v>
          </cell>
        </row>
        <row r="1195">
          <cell r="P1195">
            <v>10603826.470000004</v>
          </cell>
        </row>
        <row r="1196">
          <cell r="P1196">
            <v>13040556.109999999</v>
          </cell>
        </row>
        <row r="1198">
          <cell r="P1198">
            <v>2932084.9300000016</v>
          </cell>
        </row>
        <row r="1200">
          <cell r="P1200">
            <v>43469592.88000001</v>
          </cell>
        </row>
        <row r="1201">
          <cell r="P1201">
            <v>3502292.490000003</v>
          </cell>
        </row>
        <row r="1204">
          <cell r="P1204">
            <v>3024653.8800000008</v>
          </cell>
        </row>
        <row r="1205">
          <cell r="P1205">
            <v>83302115.179999977</v>
          </cell>
        </row>
        <row r="1209">
          <cell r="P1209">
            <v>1520144.4100000006</v>
          </cell>
        </row>
        <row r="1216">
          <cell r="P1216">
            <v>34117719.629999995</v>
          </cell>
        </row>
        <row r="1219">
          <cell r="P1219">
            <v>2848585.3867182089</v>
          </cell>
        </row>
        <row r="1228">
          <cell r="P1228">
            <v>17520837.330000002</v>
          </cell>
        </row>
        <row r="1233">
          <cell r="P1233">
            <v>4334044.4700000007</v>
          </cell>
        </row>
        <row r="1236">
          <cell r="P1236">
            <v>4006045.2700000009</v>
          </cell>
        </row>
        <row r="1242">
          <cell r="P1242">
            <v>338876.07000000007</v>
          </cell>
        </row>
        <row r="1245">
          <cell r="P1245">
            <v>25520738.699999999</v>
          </cell>
        </row>
        <row r="1251">
          <cell r="P1251">
            <v>3776002.2999999984</v>
          </cell>
        </row>
        <row r="1252">
          <cell r="P1252">
            <v>4761746.59</v>
          </cell>
        </row>
        <row r="1253">
          <cell r="P1253">
            <v>25551991.586559996</v>
          </cell>
        </row>
        <row r="1261">
          <cell r="P1261">
            <v>24406443.109999999</v>
          </cell>
        </row>
        <row r="1269">
          <cell r="P1269">
            <v>10703644.41</v>
          </cell>
        </row>
        <row r="1270">
          <cell r="P1270">
            <v>15721329.490000002</v>
          </cell>
        </row>
        <row r="1271">
          <cell r="P1271">
            <v>7047372.169999999</v>
          </cell>
        </row>
        <row r="1273">
          <cell r="P1273">
            <v>14610403.984999999</v>
          </cell>
        </row>
        <row r="1275">
          <cell r="P1275">
            <v>1808754.3100000003</v>
          </cell>
        </row>
        <row r="1276">
          <cell r="P1276">
            <v>7088504.3100000005</v>
          </cell>
        </row>
        <row r="1278">
          <cell r="P1278">
            <v>3400611.6482505202</v>
          </cell>
        </row>
        <row r="1281">
          <cell r="P1281">
            <v>20805640.280000001</v>
          </cell>
        </row>
        <row r="1285">
          <cell r="P1285">
            <v>10934534.130000001</v>
          </cell>
        </row>
        <row r="1286">
          <cell r="P1286">
            <v>7975487.5099999998</v>
          </cell>
        </row>
        <row r="1294">
          <cell r="P1294">
            <v>8793821.4099999983</v>
          </cell>
        </row>
        <row r="1296">
          <cell r="P1296">
            <v>814647.31</v>
          </cell>
        </row>
        <row r="1301">
          <cell r="P1301">
            <v>11972153.99</v>
          </cell>
        </row>
        <row r="1306">
          <cell r="P1306">
            <v>2673657.1000000006</v>
          </cell>
        </row>
        <row r="1308">
          <cell r="P1308">
            <v>14665320.020000001</v>
          </cell>
        </row>
        <row r="1312">
          <cell r="P1312">
            <v>3813339251.1703095</v>
          </cell>
        </row>
        <row r="1314">
          <cell r="P1314">
            <v>7612852.580000001</v>
          </cell>
        </row>
        <row r="1315">
          <cell r="P1315">
            <v>14974337.279999999</v>
          </cell>
        </row>
        <row r="1316">
          <cell r="P1316">
            <v>15077925.823736895</v>
          </cell>
        </row>
        <row r="1317">
          <cell r="P1317">
            <v>13785920.090553602</v>
          </cell>
        </row>
        <row r="1319">
          <cell r="P1319">
            <v>10774936.568556484</v>
          </cell>
        </row>
        <row r="1320">
          <cell r="P1320">
            <v>68724484.541067153</v>
          </cell>
        </row>
        <row r="1321">
          <cell r="P1321">
            <v>28844355.756347861</v>
          </cell>
        </row>
        <row r="1324">
          <cell r="P1324">
            <v>9820657.0276372358</v>
          </cell>
        </row>
        <row r="1325">
          <cell r="P1325">
            <v>13784798.727035977</v>
          </cell>
        </row>
        <row r="1334">
          <cell r="P1334">
            <v>6842801.8264981452</v>
          </cell>
        </row>
        <row r="1335">
          <cell r="P1335">
            <v>4750358.9054348227</v>
          </cell>
        </row>
        <row r="1337">
          <cell r="P1337">
            <v>35832588.360442266</v>
          </cell>
        </row>
        <row r="1338">
          <cell r="P1338">
            <v>21784542.310804792</v>
          </cell>
        </row>
        <row r="1340">
          <cell r="P1340">
            <v>12384063.35747618</v>
          </cell>
        </row>
        <row r="1347">
          <cell r="P1347">
            <v>5082118.7174243601</v>
          </cell>
        </row>
        <row r="1348">
          <cell r="P1348">
            <v>7981211.9150822638</v>
          </cell>
        </row>
        <row r="1349">
          <cell r="P1349">
            <v>5382673.6393641736</v>
          </cell>
        </row>
        <row r="1350">
          <cell r="P1350">
            <v>5925171.9963253513</v>
          </cell>
        </row>
        <row r="1351">
          <cell r="P1351">
            <v>4691560.120000001</v>
          </cell>
        </row>
        <row r="1352">
          <cell r="P1352">
            <v>4628133.1740000006</v>
          </cell>
        </row>
        <row r="1353">
          <cell r="P1353">
            <v>4627497.6339999996</v>
          </cell>
        </row>
        <row r="1355">
          <cell r="P1355">
            <v>7381410.1939847954</v>
          </cell>
        </row>
        <row r="1360">
          <cell r="P1360">
            <v>16747308.559999997</v>
          </cell>
        </row>
        <row r="1361">
          <cell r="P1361">
            <v>5697191.24052516</v>
          </cell>
        </row>
        <row r="1364">
          <cell r="P1364">
            <v>4942188.7322580125</v>
          </cell>
        </row>
        <row r="1386">
          <cell r="P1386">
            <v>2013540.8075999999</v>
          </cell>
        </row>
        <row r="1394">
          <cell r="P1394">
            <v>2850213.8939999994</v>
          </cell>
        </row>
        <row r="1405">
          <cell r="P1405">
            <v>18516086.076521635</v>
          </cell>
        </row>
        <row r="1407">
          <cell r="P1407">
            <v>17617996.979020003</v>
          </cell>
        </row>
        <row r="1408">
          <cell r="P1408">
            <v>4666842.1000000024</v>
          </cell>
        </row>
        <row r="1409">
          <cell r="P1409">
            <v>5352796.87</v>
          </cell>
        </row>
        <row r="1436">
          <cell r="P1436">
            <v>4923239.2420000006</v>
          </cell>
        </row>
        <row r="1441">
          <cell r="P1441">
            <v>16320070.789600002</v>
          </cell>
        </row>
        <row r="1442">
          <cell r="P1442">
            <v>32927911.943400003</v>
          </cell>
        </row>
        <row r="1445">
          <cell r="P1445">
            <v>5199734.1926600011</v>
          </cell>
        </row>
        <row r="1446">
          <cell r="P1446">
            <v>5118132.1986000007</v>
          </cell>
        </row>
        <row r="1447">
          <cell r="P1447">
            <v>3635674.0560000003</v>
          </cell>
        </row>
        <row r="1448">
          <cell r="P1448">
            <v>3799631.5219999999</v>
          </cell>
        </row>
        <row r="1449">
          <cell r="P1449">
            <v>3673790.7999999993</v>
          </cell>
        </row>
        <row r="1450">
          <cell r="P1450">
            <v>6790220.8983999994</v>
          </cell>
        </row>
        <row r="1451">
          <cell r="P1451">
            <v>5148720.6204000004</v>
          </cell>
        </row>
        <row r="1452">
          <cell r="P1452">
            <v>10220487.799999999</v>
          </cell>
        </row>
        <row r="1453">
          <cell r="P1453">
            <v>10120372.9</v>
          </cell>
        </row>
        <row r="1455">
          <cell r="P1455">
            <v>7904297.4499999993</v>
          </cell>
        </row>
        <row r="1456">
          <cell r="P1456">
            <v>7927913.5899999999</v>
          </cell>
        </row>
        <row r="1460">
          <cell r="P1460">
            <v>17899814.769200001</v>
          </cell>
        </row>
        <row r="1461">
          <cell r="P1461">
            <v>8689774.1664000005</v>
          </cell>
        </row>
        <row r="1462">
          <cell r="P1462">
            <v>8942163.842600001</v>
          </cell>
        </row>
        <row r="1463">
          <cell r="P1463">
            <v>5874806.0499999989</v>
          </cell>
        </row>
        <row r="1464">
          <cell r="P1464">
            <v>8029475.7112000007</v>
          </cell>
        </row>
        <row r="1466">
          <cell r="P1466">
            <v>1385886.2399999993</v>
          </cell>
        </row>
        <row r="1472">
          <cell r="P1472">
            <v>17431219.305</v>
          </cell>
        </row>
        <row r="1473">
          <cell r="P1473">
            <v>17664925.835999999</v>
          </cell>
        </row>
        <row r="1474">
          <cell r="P1474">
            <v>9286783.6500000004</v>
          </cell>
        </row>
        <row r="1479">
          <cell r="P1479">
            <v>0</v>
          </cell>
        </row>
        <row r="1484">
          <cell r="P1484">
            <v>767679.26</v>
          </cell>
        </row>
        <row r="1488">
          <cell r="P1488">
            <v>6782915.0899999989</v>
          </cell>
        </row>
        <row r="1492">
          <cell r="P1492">
            <v>11324509.940000001</v>
          </cell>
        </row>
        <row r="1493">
          <cell r="P1493">
            <v>11064503.170000002</v>
          </cell>
        </row>
        <row r="1497">
          <cell r="P1497">
            <v>9360919.4597700853</v>
          </cell>
        </row>
        <row r="1498">
          <cell r="P1498">
            <v>35125504.509400003</v>
          </cell>
        </row>
        <row r="1507">
          <cell r="P1507">
            <v>6201167.1648000013</v>
          </cell>
        </row>
        <row r="1512">
          <cell r="P1512">
            <v>3714881.6653999998</v>
          </cell>
        </row>
        <row r="1514">
          <cell r="P1514">
            <v>1766974.8328</v>
          </cell>
        </row>
        <row r="1515">
          <cell r="P1515">
            <v>5460204.9731010552</v>
          </cell>
        </row>
        <row r="1516">
          <cell r="P1516">
            <v>3009612.9322225135</v>
          </cell>
        </row>
        <row r="1524">
          <cell r="P1524">
            <v>8953416.5720000006</v>
          </cell>
        </row>
        <row r="1526">
          <cell r="P1526">
            <v>10926695.726555292</v>
          </cell>
        </row>
        <row r="1527">
          <cell r="P1527">
            <v>7308913.5143999998</v>
          </cell>
        </row>
        <row r="1533">
          <cell r="P1533">
            <v>3153258.7056000005</v>
          </cell>
        </row>
        <row r="1539">
          <cell r="P1539">
            <v>5551.6368277781876</v>
          </cell>
        </row>
        <row r="1544">
          <cell r="P1544">
            <v>18836624.15000001</v>
          </cell>
        </row>
        <row r="1552">
          <cell r="P1552">
            <v>18660729.039600004</v>
          </cell>
        </row>
        <row r="1554">
          <cell r="P1554">
            <v>46996321.7892</v>
          </cell>
        </row>
        <row r="1555">
          <cell r="P1555">
            <v>47626660.849200003</v>
          </cell>
        </row>
        <row r="1556">
          <cell r="P1556">
            <v>19606746.234399997</v>
          </cell>
        </row>
        <row r="1557">
          <cell r="P1557">
            <v>45984703.786200002</v>
          </cell>
        </row>
        <row r="1558">
          <cell r="P1558">
            <v>18498824.305400003</v>
          </cell>
        </row>
        <row r="1578">
          <cell r="P1578">
            <v>4361255.6000000006</v>
          </cell>
        </row>
        <row r="1581">
          <cell r="P1581">
            <v>6006083.1100000013</v>
          </cell>
        </row>
        <row r="1582">
          <cell r="P1582">
            <v>839085.45</v>
          </cell>
        </row>
        <row r="1583">
          <cell r="P1583">
            <v>834297.89999999967</v>
          </cell>
        </row>
        <row r="1587">
          <cell r="P1587">
            <v>20645970.422800001</v>
          </cell>
        </row>
        <row r="1588">
          <cell r="P1588">
            <v>848123.50000000023</v>
          </cell>
        </row>
        <row r="1589">
          <cell r="P1589">
            <v>27489822.586400006</v>
          </cell>
        </row>
        <row r="1590">
          <cell r="P1590">
            <v>10424808.700199999</v>
          </cell>
        </row>
        <row r="1591">
          <cell r="P1591">
            <v>9986140.8715999983</v>
          </cell>
        </row>
        <row r="1593">
          <cell r="P1593">
            <v>8110844.3503000019</v>
          </cell>
        </row>
        <row r="1595">
          <cell r="P1595">
            <v>3496013.9699999988</v>
          </cell>
        </row>
        <row r="1597">
          <cell r="P1597">
            <v>8637162.3732000012</v>
          </cell>
        </row>
        <row r="1599">
          <cell r="P1599">
            <v>3063647.7300000014</v>
          </cell>
        </row>
        <row r="1601">
          <cell r="P1601">
            <v>11275433.331199998</v>
          </cell>
        </row>
        <row r="1602">
          <cell r="P1602">
            <v>11116471.307599999</v>
          </cell>
        </row>
        <row r="1603">
          <cell r="P1603">
            <v>31682866.242800001</v>
          </cell>
        </row>
        <row r="1605">
          <cell r="P1605">
            <v>11592778.645199999</v>
          </cell>
        </row>
        <row r="1606">
          <cell r="P1606">
            <v>18078568.269060005</v>
          </cell>
        </row>
        <row r="1607">
          <cell r="P1607">
            <v>16044820.771</v>
          </cell>
        </row>
        <row r="1611">
          <cell r="P1611">
            <v>11508263.838699998</v>
          </cell>
        </row>
        <row r="1612">
          <cell r="P1612">
            <v>11505911.161999999</v>
          </cell>
        </row>
        <row r="1613">
          <cell r="P1613">
            <v>11456952.842400001</v>
          </cell>
        </row>
        <row r="1614">
          <cell r="P1614">
            <v>10528654.4848</v>
          </cell>
        </row>
        <row r="1615">
          <cell r="P1615">
            <v>11016215.039819999</v>
          </cell>
        </row>
        <row r="1616">
          <cell r="P1616">
            <v>11419408.833599998</v>
          </cell>
        </row>
        <row r="1617">
          <cell r="P1617">
            <v>2359754.6799999997</v>
          </cell>
        </row>
        <row r="1618">
          <cell r="P1618">
            <v>3009677.8000000007</v>
          </cell>
        </row>
        <row r="1619">
          <cell r="P1619">
            <v>3506296.2200000007</v>
          </cell>
        </row>
        <row r="1620">
          <cell r="P1620">
            <v>10411206.070800005</v>
          </cell>
        </row>
        <row r="1622">
          <cell r="P1622">
            <v>2937188.2700000005</v>
          </cell>
        </row>
        <row r="1623">
          <cell r="P1623">
            <v>2820686.4100000029</v>
          </cell>
        </row>
        <row r="1624">
          <cell r="P1624">
            <v>4486777.7899999991</v>
          </cell>
        </row>
        <row r="1625">
          <cell r="P1625">
            <v>974157.44</v>
          </cell>
        </row>
        <row r="1633">
          <cell r="P1633">
            <v>10281460.552799994</v>
          </cell>
        </row>
        <row r="1634">
          <cell r="P1634">
            <v>10547828.741799995</v>
          </cell>
        </row>
        <row r="1635">
          <cell r="P1635">
            <v>10618788.610999998</v>
          </cell>
        </row>
        <row r="1637">
          <cell r="P1637">
            <v>9034111.7484000009</v>
          </cell>
        </row>
        <row r="1641">
          <cell r="P1641">
            <v>16391000.379999999</v>
          </cell>
        </row>
        <row r="1671">
          <cell r="P1671">
            <v>22164994.906539205</v>
          </cell>
        </row>
        <row r="1675">
          <cell r="P1675">
            <v>31839336.478</v>
          </cell>
        </row>
        <row r="1679">
          <cell r="P1679">
            <v>7816186.6856000014</v>
          </cell>
        </row>
        <row r="1680">
          <cell r="P1680">
            <v>1470770.9100000001</v>
          </cell>
        </row>
        <row r="1681">
          <cell r="P1681">
            <v>13317017.774480004</v>
          </cell>
        </row>
        <row r="1702">
          <cell r="P1702">
            <v>4809755.76</v>
          </cell>
        </row>
        <row r="1719">
          <cell r="P1719">
            <v>6104857.2736000009</v>
          </cell>
        </row>
        <row r="1720">
          <cell r="P1720">
            <v>19715751.532400005</v>
          </cell>
        </row>
        <row r="1721">
          <cell r="P1721">
            <v>10704091.609200001</v>
          </cell>
        </row>
        <row r="1732">
          <cell r="P1732">
            <v>12406802.23</v>
          </cell>
        </row>
        <row r="1734">
          <cell r="P1734">
            <v>3876184.6499999994</v>
          </cell>
        </row>
        <row r="1735">
          <cell r="P1735">
            <v>3844942.65</v>
          </cell>
        </row>
        <row r="1737">
          <cell r="P1737">
            <v>2906401.1700000009</v>
          </cell>
        </row>
        <row r="1738">
          <cell r="P1738">
            <v>5827130.3199999975</v>
          </cell>
        </row>
        <row r="1739">
          <cell r="P1739">
            <v>9678456.9699999988</v>
          </cell>
        </row>
        <row r="1740">
          <cell r="P1740">
            <v>1330281.73</v>
          </cell>
        </row>
        <row r="1743">
          <cell r="P1743">
            <v>6523456.2803999996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 refreshError="1"/>
      <sheetData sheetId="1">
        <row r="359">
          <cell r="E359">
            <v>16781782.57</v>
          </cell>
        </row>
      </sheetData>
      <sheetData sheetId="2">
        <row r="359">
          <cell r="E359">
            <v>601192.01953599998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3"/>
      <sheetName val="Лист2"/>
      <sheetName val="Прил 2 оконч"/>
      <sheetName val="Лист1"/>
      <sheetName val="Приложение №3"/>
      <sheetName val="ПСД 21"/>
    </sheetNames>
    <sheetDataSet>
      <sheetData sheetId="0">
        <row r="485">
          <cell r="N485">
            <v>2403779.8799999994</v>
          </cell>
        </row>
      </sheetData>
      <sheetData sheetId="1">
        <row r="485">
          <cell r="E485">
            <v>2403779.88</v>
          </cell>
        </row>
      </sheetData>
      <sheetData sheetId="2" refreshError="1"/>
      <sheetData sheetId="3" refreshError="1"/>
      <sheetData sheetId="4">
        <row r="485">
          <cell r="E485">
            <v>2403779.8799999994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</sheetNames>
    <sheetDataSet>
      <sheetData sheetId="0">
        <row r="83">
          <cell r="R83">
            <v>1440370.6732000001</v>
          </cell>
          <cell r="S83">
            <v>252659.82679999992</v>
          </cell>
        </row>
        <row r="136">
          <cell r="R136">
            <v>400888.39</v>
          </cell>
          <cell r="S136">
            <v>8500.140000000014</v>
          </cell>
        </row>
        <row r="137">
          <cell r="R137">
            <v>360173.08999999997</v>
          </cell>
        </row>
        <row r="188">
          <cell r="R188">
            <v>395324.3</v>
          </cell>
          <cell r="S188">
            <v>922239.35000000009</v>
          </cell>
        </row>
        <row r="189">
          <cell r="R189">
            <v>442306.38</v>
          </cell>
          <cell r="S189">
            <v>567472.1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I6">
            <v>3030178.26</v>
          </cell>
        </row>
        <row r="8">
          <cell r="I8">
            <v>4393109.2</v>
          </cell>
        </row>
        <row r="11">
          <cell r="I11">
            <v>681444.46</v>
          </cell>
        </row>
        <row r="15">
          <cell r="I15">
            <v>4026047.4499999997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  <sheetName val="Исключ"/>
    </sheetNames>
    <sheetDataSet>
      <sheetData sheetId="0">
        <row r="23">
          <cell r="R23">
            <v>279120.21891428571</v>
          </cell>
          <cell r="S23">
            <v>205178.19</v>
          </cell>
        </row>
        <row r="346">
          <cell r="R346">
            <v>2423166.85</v>
          </cell>
          <cell r="S346">
            <v>881043.56999999983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Лист1"/>
    </sheetNames>
    <sheetDataSet>
      <sheetData sheetId="0"/>
      <sheetData sheetId="1">
        <row r="64">
          <cell r="E64">
            <v>4768439.38</v>
          </cell>
        </row>
        <row r="65">
          <cell r="E65">
            <v>4456644.72</v>
          </cell>
        </row>
        <row r="82">
          <cell r="E82">
            <v>988409.12999999989</v>
          </cell>
        </row>
        <row r="95">
          <cell r="E95">
            <v>1951145.62</v>
          </cell>
        </row>
        <row r="146">
          <cell r="E146">
            <v>4115969.44</v>
          </cell>
        </row>
        <row r="147">
          <cell r="E147">
            <v>3453263.2299999995</v>
          </cell>
        </row>
        <row r="148">
          <cell r="E148">
            <v>6160301.8223984009</v>
          </cell>
        </row>
        <row r="173">
          <cell r="E173">
            <v>1763547.68</v>
          </cell>
        </row>
        <row r="174">
          <cell r="E174">
            <v>1717844.6500000001</v>
          </cell>
        </row>
        <row r="176">
          <cell r="E176">
            <v>210038.39</v>
          </cell>
        </row>
        <row r="177">
          <cell r="E177">
            <v>795892.42</v>
          </cell>
        </row>
        <row r="178">
          <cell r="E178">
            <v>386024.11999999994</v>
          </cell>
        </row>
        <row r="179">
          <cell r="E179">
            <v>249128.41999999998</v>
          </cell>
        </row>
        <row r="200">
          <cell r="E200">
            <v>24444190.12958464</v>
          </cell>
        </row>
        <row r="201">
          <cell r="E201">
            <v>28649224.581331842</v>
          </cell>
        </row>
        <row r="202">
          <cell r="E202">
            <v>13149734.670000002</v>
          </cell>
        </row>
        <row r="203">
          <cell r="E203">
            <v>1558900.53</v>
          </cell>
        </row>
        <row r="205">
          <cell r="E205">
            <v>6811333.4311456</v>
          </cell>
        </row>
        <row r="206">
          <cell r="E206">
            <v>13129182.300000001</v>
          </cell>
        </row>
        <row r="207">
          <cell r="E207">
            <v>13342818.840000002</v>
          </cell>
        </row>
        <row r="208">
          <cell r="E208">
            <v>7067481.4247552007</v>
          </cell>
        </row>
        <row r="209">
          <cell r="E209">
            <v>9836573.3408351988</v>
          </cell>
        </row>
        <row r="210">
          <cell r="E210">
            <v>1515743.2999999998</v>
          </cell>
        </row>
        <row r="232">
          <cell r="E232">
            <v>388845.05</v>
          </cell>
        </row>
        <row r="260">
          <cell r="E260">
            <v>1710275.1900000002</v>
          </cell>
        </row>
        <row r="261">
          <cell r="E261">
            <v>1817800.15</v>
          </cell>
        </row>
        <row r="272">
          <cell r="E272">
            <v>15693522.369999999</v>
          </cell>
        </row>
        <row r="283">
          <cell r="E283">
            <v>4357536.5899999989</v>
          </cell>
        </row>
        <row r="299">
          <cell r="E299">
            <v>8489544.8100000005</v>
          </cell>
        </row>
        <row r="305">
          <cell r="E305">
            <v>25768523.780000001</v>
          </cell>
        </row>
        <row r="307">
          <cell r="E307">
            <v>1958141.1600000001</v>
          </cell>
        </row>
        <row r="308">
          <cell r="E308">
            <v>4845389.3400000008</v>
          </cell>
        </row>
        <row r="309">
          <cell r="E309">
            <v>1316831.6000000001</v>
          </cell>
        </row>
        <row r="310">
          <cell r="E310">
            <v>1293441.4399999997</v>
          </cell>
        </row>
        <row r="311">
          <cell r="E311">
            <v>1144023.6399999999</v>
          </cell>
        </row>
        <row r="312">
          <cell r="E312">
            <v>1346505.7</v>
          </cell>
        </row>
        <row r="422">
          <cell r="E422">
            <v>18879882.600000001</v>
          </cell>
        </row>
        <row r="427">
          <cell r="E427">
            <v>25954540.125801601</v>
          </cell>
        </row>
        <row r="428">
          <cell r="E428">
            <v>25954540.125801601</v>
          </cell>
        </row>
        <row r="496">
          <cell r="E496">
            <v>5905280.4668094926</v>
          </cell>
        </row>
        <row r="503">
          <cell r="E503">
            <v>5420796.79</v>
          </cell>
        </row>
        <row r="504">
          <cell r="E504">
            <v>7155018.0199999986</v>
          </cell>
        </row>
        <row r="505">
          <cell r="E505">
            <v>9890859.6757152006</v>
          </cell>
        </row>
        <row r="515">
          <cell r="E515">
            <v>4653951.2214560006</v>
          </cell>
        </row>
        <row r="521">
          <cell r="E521">
            <v>8748520.7200000007</v>
          </cell>
        </row>
        <row r="522">
          <cell r="E522">
            <v>2671455.3646809598</v>
          </cell>
        </row>
        <row r="524">
          <cell r="E524">
            <v>21548160</v>
          </cell>
        </row>
        <row r="544">
          <cell r="E544">
            <v>823036.2906064</v>
          </cell>
        </row>
        <row r="545">
          <cell r="E545">
            <v>824533.25957439991</v>
          </cell>
        </row>
        <row r="546">
          <cell r="E546">
            <v>825132.05316160002</v>
          </cell>
        </row>
        <row r="552">
          <cell r="E552">
            <v>1885385.6</v>
          </cell>
        </row>
        <row r="553">
          <cell r="E553">
            <v>37259456.808583044</v>
          </cell>
        </row>
        <row r="567">
          <cell r="E567">
            <v>4044469.0700000003</v>
          </cell>
        </row>
        <row r="568">
          <cell r="E568">
            <v>4133129.53</v>
          </cell>
        </row>
        <row r="570">
          <cell r="E570">
            <v>51285715.170000009</v>
          </cell>
        </row>
        <row r="571">
          <cell r="E571">
            <v>13093601.539999999</v>
          </cell>
        </row>
        <row r="572">
          <cell r="E572">
            <v>11435898.430000002</v>
          </cell>
        </row>
        <row r="573">
          <cell r="E573">
            <v>14365440</v>
          </cell>
        </row>
        <row r="574">
          <cell r="E574">
            <v>17043287.539999999</v>
          </cell>
        </row>
        <row r="576">
          <cell r="E576">
            <v>45146536.223066881</v>
          </cell>
        </row>
        <row r="578">
          <cell r="E578">
            <v>15827615.0557984</v>
          </cell>
        </row>
        <row r="629">
          <cell r="E629">
            <v>61869436.07703615</v>
          </cell>
        </row>
        <row r="655">
          <cell r="E655">
            <v>5949784.1576571837</v>
          </cell>
        </row>
        <row r="659">
          <cell r="E659">
            <v>32126174.493678723</v>
          </cell>
        </row>
        <row r="660">
          <cell r="E660">
            <v>27484311.934204828</v>
          </cell>
        </row>
        <row r="661">
          <cell r="E661">
            <v>9452787.0787584018</v>
          </cell>
        </row>
        <row r="662">
          <cell r="E662">
            <v>40764810.27565439</v>
          </cell>
        </row>
        <row r="663">
          <cell r="E663">
            <v>3178020.5913953963</v>
          </cell>
        </row>
        <row r="664">
          <cell r="E664">
            <v>6722291.6544528576</v>
          </cell>
        </row>
        <row r="665">
          <cell r="E665">
            <v>6646803.0982000139</v>
          </cell>
        </row>
        <row r="666">
          <cell r="E666">
            <v>20571336.182255037</v>
          </cell>
        </row>
        <row r="681">
          <cell r="E681">
            <v>11387630.482799999</v>
          </cell>
        </row>
        <row r="684">
          <cell r="E684">
            <v>14577538.167466559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>
        <row r="28">
          <cell r="Q28"/>
        </row>
        <row r="29">
          <cell r="Q29"/>
        </row>
        <row r="30">
          <cell r="Q30"/>
        </row>
        <row r="31">
          <cell r="Q31"/>
        </row>
        <row r="32">
          <cell r="Q32"/>
        </row>
        <row r="33">
          <cell r="Q33"/>
        </row>
        <row r="34">
          <cell r="Q34"/>
        </row>
        <row r="35">
          <cell r="Q35"/>
        </row>
        <row r="37">
          <cell r="Q37"/>
        </row>
        <row r="100">
          <cell r="P100">
            <v>474969.93999999994</v>
          </cell>
          <cell r="Q100"/>
          <cell r="R100">
            <v>552763.5</v>
          </cell>
          <cell r="S100">
            <v>4170712.467582101</v>
          </cell>
          <cell r="T100">
            <v>0</v>
          </cell>
        </row>
        <row r="149">
          <cell r="P149"/>
          <cell r="Q149"/>
          <cell r="R149">
            <v>204954.46</v>
          </cell>
          <cell r="S149">
            <v>70591.750000000029</v>
          </cell>
          <cell r="T149">
            <v>0</v>
          </cell>
        </row>
        <row r="209">
          <cell r="P209">
            <v>7389025.9417176796</v>
          </cell>
          <cell r="Q209">
            <v>0</v>
          </cell>
          <cell r="R209">
            <v>889526.11</v>
          </cell>
          <cell r="S209">
            <v>5307120</v>
          </cell>
          <cell r="T209">
            <v>6556494.6882823221</v>
          </cell>
        </row>
        <row r="210">
          <cell r="P210">
            <v>5072123.3467405867</v>
          </cell>
          <cell r="Q210">
            <v>0</v>
          </cell>
          <cell r="R210">
            <v>1967279.13</v>
          </cell>
          <cell r="S210">
            <v>3768862.2462418592</v>
          </cell>
          <cell r="T210">
            <v>5824025.0059681861</v>
          </cell>
        </row>
        <row r="211">
          <cell r="P211">
            <v>5182536.9001926761</v>
          </cell>
          <cell r="Q211">
            <v>0</v>
          </cell>
          <cell r="R211">
            <v>483541.2</v>
          </cell>
          <cell r="S211"/>
          <cell r="T211">
            <v>5741487.44067859</v>
          </cell>
        </row>
        <row r="212">
          <cell r="P212">
            <v>5072123.3467405867</v>
          </cell>
          <cell r="Q212">
            <v>0</v>
          </cell>
          <cell r="R212">
            <v>475014</v>
          </cell>
          <cell r="S212">
            <v>5942965.7594202757</v>
          </cell>
          <cell r="T212">
            <v>0</v>
          </cell>
        </row>
        <row r="213">
          <cell r="P213">
            <v>7782041.3511919565</v>
          </cell>
          <cell r="Q213">
            <v>0</v>
          </cell>
          <cell r="R213">
            <v>323401.2</v>
          </cell>
          <cell r="S213">
            <v>6328277.9487973768</v>
          </cell>
          <cell r="T213">
            <v>206932.47440980951</v>
          </cell>
        </row>
        <row r="214">
          <cell r="P214">
            <v>478248.08737109351</v>
          </cell>
          <cell r="Q214">
            <v>0</v>
          </cell>
          <cell r="R214">
            <v>732918.84</v>
          </cell>
          <cell r="S214">
            <v>1981604.6151416251</v>
          </cell>
          <cell r="T214">
            <v>12564728.044775484</v>
          </cell>
        </row>
        <row r="215">
          <cell r="P215">
            <v>1586711.6355164612</v>
          </cell>
          <cell r="Q215">
            <v>0</v>
          </cell>
          <cell r="R215">
            <v>2885461.1399999997</v>
          </cell>
          <cell r="S215">
            <v>4175735.648797377</v>
          </cell>
          <cell r="T215">
            <v>0</v>
          </cell>
        </row>
        <row r="216">
          <cell r="P216">
            <v>1120717.4520800433</v>
          </cell>
          <cell r="Q216">
            <v>0</v>
          </cell>
          <cell r="R216">
            <v>1473604.42</v>
          </cell>
          <cell r="S216">
            <v>15593760</v>
          </cell>
          <cell r="T216">
            <v>758291.81924074329</v>
          </cell>
        </row>
        <row r="217">
          <cell r="P217">
            <v>1586711.6355164612</v>
          </cell>
          <cell r="Q217">
            <v>0</v>
          </cell>
          <cell r="R217">
            <v>1815383.5899999999</v>
          </cell>
          <cell r="S217">
            <v>16841160</v>
          </cell>
          <cell r="T217">
            <v>1514049.7429102063</v>
          </cell>
        </row>
        <row r="218">
          <cell r="P218">
            <v>1385807.9601764705</v>
          </cell>
          <cell r="Q218">
            <v>0</v>
          </cell>
          <cell r="R218">
            <v>1723427.12</v>
          </cell>
          <cell r="S218">
            <v>14612040</v>
          </cell>
          <cell r="T218">
            <v>1670685.0264633894</v>
          </cell>
        </row>
        <row r="219">
          <cell r="P219">
            <v>1423763.6988494929</v>
          </cell>
          <cell r="Q219">
            <v>0</v>
          </cell>
          <cell r="R219">
            <v>1519004.0299999998</v>
          </cell>
          <cell r="S219">
            <v>15083280</v>
          </cell>
          <cell r="T219">
            <v>1608872.8244636636</v>
          </cell>
        </row>
        <row r="220">
          <cell r="P220">
            <v>1428537.26925231</v>
          </cell>
          <cell r="Q220">
            <v>0</v>
          </cell>
          <cell r="R220">
            <v>1661944.5499999998</v>
          </cell>
          <cell r="S220">
            <v>14587920</v>
          </cell>
          <cell r="T220">
            <v>1764613.934796799</v>
          </cell>
        </row>
        <row r="221">
          <cell r="P221">
            <v>935511.44753736479</v>
          </cell>
          <cell r="Q221">
            <v>0</v>
          </cell>
          <cell r="R221">
            <v>1041519.8300000001</v>
          </cell>
          <cell r="S221">
            <v>9579960</v>
          </cell>
          <cell r="T221">
            <v>1654915.0662350245</v>
          </cell>
        </row>
        <row r="222">
          <cell r="P222"/>
          <cell r="Q222"/>
          <cell r="R222">
            <v>1943422.02</v>
          </cell>
          <cell r="S222">
            <v>830760.81019038707</v>
          </cell>
          <cell r="T222">
            <v>0</v>
          </cell>
        </row>
        <row r="223">
          <cell r="P223"/>
          <cell r="Q223"/>
          <cell r="R223">
            <v>1857150.5096</v>
          </cell>
          <cell r="S223">
            <v>83939.170239231782</v>
          </cell>
          <cell r="T223">
            <v>0</v>
          </cell>
        </row>
        <row r="224">
          <cell r="P224"/>
          <cell r="Q224"/>
          <cell r="R224">
            <v>1325372.3700000001</v>
          </cell>
          <cell r="S224">
            <v>2617432.0234862673</v>
          </cell>
          <cell r="T224">
            <v>0</v>
          </cell>
        </row>
        <row r="225">
          <cell r="P225"/>
          <cell r="Q225"/>
          <cell r="R225">
            <v>1960747.23</v>
          </cell>
          <cell r="S225">
            <v>972570.26266483217</v>
          </cell>
          <cell r="T225">
            <v>0</v>
          </cell>
        </row>
        <row r="226">
          <cell r="P226">
            <v>2375276.4681759998</v>
          </cell>
          <cell r="Q226"/>
          <cell r="R226">
            <v>6651991.1786065921</v>
          </cell>
          <cell r="S226">
            <v>0</v>
          </cell>
          <cell r="T226">
            <v>4.6566128730773926E-10</v>
          </cell>
        </row>
        <row r="227">
          <cell r="P227"/>
          <cell r="Q227"/>
          <cell r="R227">
            <v>1443415.5630734027</v>
          </cell>
          <cell r="S227">
            <v>1371982.1239788854</v>
          </cell>
          <cell r="T227">
            <v>1.1641532182693481E-10</v>
          </cell>
        </row>
        <row r="228">
          <cell r="P228">
            <v>2375276.4681759998</v>
          </cell>
          <cell r="Q228"/>
          <cell r="R228">
            <v>2523266.9500000002</v>
          </cell>
          <cell r="S228">
            <v>187022.45319296606</v>
          </cell>
          <cell r="T228">
            <v>0</v>
          </cell>
        </row>
        <row r="229">
          <cell r="P229"/>
          <cell r="Q229"/>
          <cell r="R229">
            <v>1586967.3900000001</v>
          </cell>
          <cell r="S229">
            <v>2338295.9027938559</v>
          </cell>
          <cell r="T229">
            <v>0</v>
          </cell>
        </row>
        <row r="230">
          <cell r="P230"/>
          <cell r="Q230"/>
          <cell r="R230">
            <v>7813607.9469999997</v>
          </cell>
          <cell r="S230">
            <v>26373490.128670823</v>
          </cell>
          <cell r="T230">
            <v>9.3132257461547852E-10</v>
          </cell>
        </row>
        <row r="231">
          <cell r="P231"/>
          <cell r="Q231"/>
          <cell r="R231">
            <v>806677.09999999986</v>
          </cell>
          <cell r="S231">
            <v>3550208.4964561407</v>
          </cell>
          <cell r="T231">
            <v>0</v>
          </cell>
        </row>
        <row r="232">
          <cell r="P232"/>
          <cell r="Q232"/>
          <cell r="R232">
            <v>5617381.3413607851</v>
          </cell>
          <cell r="S232">
            <v>347565.68194596749</v>
          </cell>
          <cell r="T232">
            <v>0</v>
          </cell>
        </row>
        <row r="233">
          <cell r="P233"/>
          <cell r="Q233"/>
          <cell r="R233">
            <v>4916517.9743421944</v>
          </cell>
          <cell r="S233">
            <v>0</v>
          </cell>
          <cell r="T233">
            <v>0</v>
          </cell>
        </row>
        <row r="234">
          <cell r="P234"/>
          <cell r="Q234"/>
          <cell r="R234">
            <v>111696.62217059778</v>
          </cell>
          <cell r="S234">
            <v>2092778.0734971142</v>
          </cell>
          <cell r="T234">
            <v>0</v>
          </cell>
        </row>
        <row r="235">
          <cell r="P235"/>
          <cell r="Q235"/>
          <cell r="R235">
            <v>1338332.7178491487</v>
          </cell>
          <cell r="S235">
            <v>0</v>
          </cell>
          <cell r="T235">
            <v>0</v>
          </cell>
        </row>
        <row r="236">
          <cell r="P236"/>
          <cell r="Q236"/>
          <cell r="R236">
            <v>757569.21779999987</v>
          </cell>
          <cell r="S236">
            <v>1596773.0743141021</v>
          </cell>
          <cell r="T236">
            <v>0</v>
          </cell>
        </row>
        <row r="237">
          <cell r="P237"/>
          <cell r="Q237"/>
          <cell r="R237">
            <v>1353266.2159999998</v>
          </cell>
          <cell r="S237">
            <v>498822.48321587243</v>
          </cell>
          <cell r="T237">
            <v>0</v>
          </cell>
        </row>
        <row r="238">
          <cell r="P238">
            <v>822035.24829823943</v>
          </cell>
          <cell r="Q238"/>
          <cell r="R238">
            <v>0</v>
          </cell>
          <cell r="S238">
            <v>2525366.7744871946</v>
          </cell>
          <cell r="T238">
            <v>0</v>
          </cell>
        </row>
        <row r="239">
          <cell r="P239">
            <v>822035.24829823943</v>
          </cell>
          <cell r="Q239"/>
          <cell r="R239">
            <v>1074489.9400000002</v>
          </cell>
          <cell r="S239">
            <v>4002010.6975817271</v>
          </cell>
          <cell r="T239">
            <v>2.3283064365386963E-10</v>
          </cell>
        </row>
        <row r="240">
          <cell r="P240"/>
          <cell r="Q240"/>
          <cell r="R240">
            <v>2232501.41</v>
          </cell>
          <cell r="S240">
            <v>1513577.6946375426</v>
          </cell>
          <cell r="T240">
            <v>0</v>
          </cell>
        </row>
        <row r="241">
          <cell r="P241"/>
          <cell r="Q241"/>
          <cell r="R241">
            <v>1701231.8336</v>
          </cell>
          <cell r="S241">
            <v>4234669.5673709381</v>
          </cell>
          <cell r="T241">
            <v>2.3283064365386963E-10</v>
          </cell>
        </row>
        <row r="242">
          <cell r="P242">
            <v>20372250.93</v>
          </cell>
          <cell r="Q242"/>
          <cell r="R242">
            <v>2069358.8800000001</v>
          </cell>
          <cell r="S242">
            <v>18052668.000000004</v>
          </cell>
          <cell r="T242">
            <v>1208109.6899999976</v>
          </cell>
        </row>
        <row r="243">
          <cell r="P243"/>
          <cell r="Q243"/>
          <cell r="R243">
            <v>2589978.34</v>
          </cell>
          <cell r="S243">
            <v>15908180.089174457</v>
          </cell>
          <cell r="T243">
            <v>0</v>
          </cell>
        </row>
        <row r="244">
          <cell r="P244">
            <v>10119409.619999997</v>
          </cell>
          <cell r="Q244"/>
          <cell r="R244">
            <v>2658490.19</v>
          </cell>
          <cell r="S244">
            <v>15687110.699129095</v>
          </cell>
          <cell r="T244">
            <v>0</v>
          </cell>
        </row>
        <row r="245">
          <cell r="P245">
            <v>257830.72999999998</v>
          </cell>
          <cell r="Q245"/>
          <cell r="R245">
            <v>2658783.5799999996</v>
          </cell>
          <cell r="S245">
            <v>15758675.527653033</v>
          </cell>
          <cell r="T245">
            <v>0</v>
          </cell>
        </row>
        <row r="246">
          <cell r="P246"/>
          <cell r="Q246">
            <v>0</v>
          </cell>
          <cell r="R246">
            <v>2054828.4956</v>
          </cell>
          <cell r="S246">
            <v>9225217.5047191121</v>
          </cell>
          <cell r="T246">
            <v>2.3283064365386963E-10</v>
          </cell>
        </row>
        <row r="247">
          <cell r="P247"/>
          <cell r="Q247"/>
          <cell r="R247">
            <v>1373583.9356</v>
          </cell>
          <cell r="S247">
            <v>10363374.606751824</v>
          </cell>
          <cell r="T247">
            <v>0</v>
          </cell>
        </row>
        <row r="248">
          <cell r="P248">
            <v>16600042.59</v>
          </cell>
          <cell r="Q248"/>
          <cell r="R248">
            <v>1094226.5300000012</v>
          </cell>
          <cell r="S248">
            <v>15758968.917653034</v>
          </cell>
          <cell r="T248">
            <v>0</v>
          </cell>
        </row>
        <row r="249">
          <cell r="P249">
            <v>2237553.186666667</v>
          </cell>
          <cell r="Q249"/>
          <cell r="R249">
            <v>561433.66999999993</v>
          </cell>
          <cell r="S249">
            <v>3378960</v>
          </cell>
          <cell r="T249">
            <v>3305576.864033334</v>
          </cell>
        </row>
        <row r="250">
          <cell r="P250">
            <v>906857.51333330001</v>
          </cell>
          <cell r="Q250"/>
          <cell r="R250">
            <v>188618.4</v>
          </cell>
          <cell r="S250">
            <v>2747887.0827066656</v>
          </cell>
          <cell r="T250">
            <v>14765263.182560036</v>
          </cell>
        </row>
        <row r="251">
          <cell r="P251"/>
          <cell r="Q251"/>
          <cell r="R251">
            <v>0</v>
          </cell>
          <cell r="S251">
            <v>3609894.245787648</v>
          </cell>
          <cell r="T251">
            <v>0</v>
          </cell>
        </row>
        <row r="252">
          <cell r="P252"/>
          <cell r="Q252">
            <v>0</v>
          </cell>
          <cell r="R252">
            <v>734493.91899999999</v>
          </cell>
          <cell r="S252">
            <v>1350918.8418436176</v>
          </cell>
          <cell r="T252">
            <v>0</v>
          </cell>
        </row>
        <row r="253">
          <cell r="P253">
            <v>3772182.5490253926</v>
          </cell>
          <cell r="Q253"/>
          <cell r="R253">
            <v>1023686.0467999999</v>
          </cell>
          <cell r="S253">
            <v>7481735.5199999977</v>
          </cell>
          <cell r="T253">
            <v>7425400.8716507871</v>
          </cell>
        </row>
        <row r="254">
          <cell r="P254">
            <v>16600042.59</v>
          </cell>
          <cell r="Q254"/>
          <cell r="R254">
            <v>1883122.0537999999</v>
          </cell>
          <cell r="S254">
            <v>6006879.6440085173</v>
          </cell>
          <cell r="T254">
            <v>0</v>
          </cell>
        </row>
        <row r="255">
          <cell r="P255">
            <v>2237553.186666667</v>
          </cell>
          <cell r="Q255"/>
          <cell r="R255">
            <v>2235221.37</v>
          </cell>
          <cell r="S255">
            <v>8937132.3174326904</v>
          </cell>
          <cell r="T255">
            <v>9.3132257461547852E-10</v>
          </cell>
        </row>
        <row r="256">
          <cell r="P256">
            <v>906857.51333330001</v>
          </cell>
          <cell r="Q256"/>
          <cell r="R256">
            <v>2554358.16</v>
          </cell>
          <cell r="S256">
            <v>9744012.8078277018</v>
          </cell>
          <cell r="T256">
            <v>0</v>
          </cell>
        </row>
        <row r="257">
          <cell r="P257"/>
          <cell r="Q257"/>
          <cell r="R257">
            <v>2890759.6999999997</v>
          </cell>
          <cell r="S257">
            <v>12939355.137610562</v>
          </cell>
          <cell r="T257">
            <v>0</v>
          </cell>
        </row>
        <row r="258">
          <cell r="P258"/>
          <cell r="Q258"/>
          <cell r="R258">
            <v>1302890.54</v>
          </cell>
          <cell r="S258">
            <v>948621.5987999998</v>
          </cell>
          <cell r="T258">
            <v>0</v>
          </cell>
        </row>
        <row r="259">
          <cell r="P259">
            <v>3772182.5490253926</v>
          </cell>
          <cell r="Q259"/>
          <cell r="R259">
            <v>2337821.67</v>
          </cell>
          <cell r="S259">
            <v>765123.23114799988</v>
          </cell>
          <cell r="T259">
            <v>0</v>
          </cell>
        </row>
        <row r="260">
          <cell r="P260"/>
          <cell r="Q260"/>
          <cell r="R260">
            <v>182518.8</v>
          </cell>
          <cell r="S260">
            <v>238135.03436800186</v>
          </cell>
          <cell r="T260">
            <v>863090.78563199798</v>
          </cell>
        </row>
        <row r="261">
          <cell r="P261">
            <v>9113158.8490190003</v>
          </cell>
          <cell r="Q261"/>
          <cell r="R261">
            <v>272879.95</v>
          </cell>
          <cell r="S261">
            <v>2039289.68</v>
          </cell>
          <cell r="T261">
            <v>0</v>
          </cell>
        </row>
        <row r="262">
          <cell r="P262"/>
          <cell r="Q262"/>
          <cell r="R262">
            <v>1488007.09</v>
          </cell>
          <cell r="S262">
            <v>3038094.8787000002</v>
          </cell>
          <cell r="T262">
            <v>0</v>
          </cell>
        </row>
        <row r="263">
          <cell r="P263"/>
          <cell r="Q263"/>
          <cell r="R263">
            <v>1158057.5900000001</v>
          </cell>
          <cell r="S263">
            <v>2499606.6227659052</v>
          </cell>
          <cell r="T263">
            <v>0</v>
          </cell>
        </row>
        <row r="264">
          <cell r="P264"/>
          <cell r="Q264"/>
          <cell r="R264">
            <v>1141676.7975668802</v>
          </cell>
          <cell r="S264">
            <v>0</v>
          </cell>
          <cell r="T264">
            <v>0</v>
          </cell>
        </row>
        <row r="265">
          <cell r="P265"/>
          <cell r="Q265"/>
          <cell r="R265">
            <v>0</v>
          </cell>
          <cell r="S265">
            <v>5487157.1376640005</v>
          </cell>
          <cell r="T265">
            <v>0</v>
          </cell>
        </row>
        <row r="266">
          <cell r="P266">
            <v>2983667.61</v>
          </cell>
          <cell r="Q266"/>
          <cell r="R266">
            <v>0</v>
          </cell>
          <cell r="S266">
            <v>1551424.4745060005</v>
          </cell>
          <cell r="T266">
            <v>0</v>
          </cell>
        </row>
        <row r="267">
          <cell r="P267">
            <v>2760799.8602499994</v>
          </cell>
          <cell r="Q267"/>
          <cell r="R267">
            <v>3566852.3591999998</v>
          </cell>
          <cell r="S267">
            <v>6408654.2547666216</v>
          </cell>
          <cell r="T267">
            <v>0</v>
          </cell>
        </row>
        <row r="268">
          <cell r="P268">
            <v>1020018.4912000014</v>
          </cell>
          <cell r="Q268"/>
          <cell r="R268">
            <v>1668103.1164000002</v>
          </cell>
          <cell r="S268">
            <v>5342998.5382791795</v>
          </cell>
          <cell r="T268">
            <v>0</v>
          </cell>
        </row>
        <row r="269">
          <cell r="P269"/>
          <cell r="Q269"/>
          <cell r="R269">
            <v>1069515.91491576</v>
          </cell>
          <cell r="S269">
            <v>0</v>
          </cell>
          <cell r="T269">
            <v>0</v>
          </cell>
        </row>
        <row r="270">
          <cell r="P270"/>
          <cell r="Q270"/>
          <cell r="R270">
            <v>1137882.68042862</v>
          </cell>
          <cell r="S270">
            <v>0</v>
          </cell>
          <cell r="T270">
            <v>0</v>
          </cell>
        </row>
        <row r="271">
          <cell r="P271">
            <v>0</v>
          </cell>
          <cell r="Q271"/>
          <cell r="R271">
            <v>909628.81999999983</v>
          </cell>
          <cell r="S271">
            <v>409384.47641999996</v>
          </cell>
          <cell r="T271">
            <v>0</v>
          </cell>
        </row>
        <row r="272">
          <cell r="P272"/>
          <cell r="Q272">
            <v>0</v>
          </cell>
          <cell r="R272">
            <v>2621887.21</v>
          </cell>
          <cell r="S272">
            <v>2837549.08</v>
          </cell>
          <cell r="T272">
            <v>0</v>
          </cell>
        </row>
        <row r="273">
          <cell r="P273"/>
          <cell r="Q273">
            <v>0</v>
          </cell>
          <cell r="R273">
            <v>1965896.65</v>
          </cell>
          <cell r="S273">
            <v>1875485.4600000004</v>
          </cell>
          <cell r="T273">
            <v>0</v>
          </cell>
        </row>
        <row r="274">
          <cell r="P274">
            <v>2983667.61</v>
          </cell>
          <cell r="Q274"/>
          <cell r="R274">
            <v>1998837.3649560001</v>
          </cell>
          <cell r="S274">
            <v>0</v>
          </cell>
          <cell r="T274">
            <v>0</v>
          </cell>
        </row>
        <row r="275">
          <cell r="P275">
            <v>2143246.1167999995</v>
          </cell>
          <cell r="Q275"/>
          <cell r="R275">
            <v>775614.69559999998</v>
          </cell>
          <cell r="S275">
            <v>4780661.1140000001</v>
          </cell>
          <cell r="T275">
            <v>2174995.8112999992</v>
          </cell>
        </row>
        <row r="276">
          <cell r="P276">
            <v>1511702.0514524882</v>
          </cell>
          <cell r="Q276"/>
          <cell r="R276">
            <v>1989936.72</v>
          </cell>
          <cell r="S276">
            <v>6140229.3985475125</v>
          </cell>
          <cell r="T276">
            <v>0</v>
          </cell>
        </row>
        <row r="277">
          <cell r="P277">
            <v>1020018.4912000014</v>
          </cell>
          <cell r="Q277"/>
          <cell r="R277">
            <v>2005001.28</v>
          </cell>
          <cell r="S277">
            <v>0</v>
          </cell>
          <cell r="T277">
            <v>0</v>
          </cell>
        </row>
        <row r="278">
          <cell r="P278">
            <v>989123.26378000085</v>
          </cell>
          <cell r="Q278"/>
          <cell r="R278">
            <v>347473.2</v>
          </cell>
          <cell r="S278">
            <v>26483.948109999299</v>
          </cell>
          <cell r="T278">
            <v>0</v>
          </cell>
        </row>
        <row r="279">
          <cell r="P279">
            <v>5725470.5333099999</v>
          </cell>
          <cell r="Q279"/>
          <cell r="R279">
            <v>2519251.88</v>
          </cell>
          <cell r="S279">
            <v>15606360</v>
          </cell>
          <cell r="T279">
            <v>6187545.1496315897</v>
          </cell>
        </row>
        <row r="280">
          <cell r="P280">
            <v>4224796.0526083997</v>
          </cell>
          <cell r="Q280"/>
          <cell r="R280">
            <v>3054172.49</v>
          </cell>
          <cell r="S280">
            <v>4830083.3141653994</v>
          </cell>
          <cell r="T280">
            <v>0</v>
          </cell>
        </row>
        <row r="281">
          <cell r="P281"/>
          <cell r="Q281"/>
          <cell r="R281">
            <v>2727972.42</v>
          </cell>
          <cell r="S281">
            <v>10090566.48</v>
          </cell>
          <cell r="T281">
            <v>0</v>
          </cell>
        </row>
        <row r="282">
          <cell r="P282">
            <v>3218407.5900000003</v>
          </cell>
          <cell r="Q282">
            <v>0</v>
          </cell>
          <cell r="R282">
            <v>876693.16999999993</v>
          </cell>
          <cell r="S282">
            <v>2589649.1953653195</v>
          </cell>
          <cell r="T282">
            <v>0</v>
          </cell>
        </row>
        <row r="283">
          <cell r="P283">
            <v>4346316.5754666664</v>
          </cell>
          <cell r="R283">
            <v>823386.06360000011</v>
          </cell>
          <cell r="S283">
            <v>0</v>
          </cell>
          <cell r="T283">
            <v>22388067.084222913</v>
          </cell>
        </row>
        <row r="284">
          <cell r="P284">
            <v>4427463.1917000003</v>
          </cell>
          <cell r="R284">
            <v>444157.56489999988</v>
          </cell>
          <cell r="S284">
            <v>0</v>
          </cell>
          <cell r="T284">
            <v>21260658.953270167</v>
          </cell>
        </row>
        <row r="285">
          <cell r="P285">
            <v>9237039.6128709596</v>
          </cell>
          <cell r="R285">
            <v>1975744.77</v>
          </cell>
          <cell r="S285">
            <v>12450600</v>
          </cell>
          <cell r="T285">
            <v>27701426.017244324</v>
          </cell>
        </row>
        <row r="286">
          <cell r="P286">
            <v>1511702.0514524882</v>
          </cell>
          <cell r="R286">
            <v>1047518.0799999998</v>
          </cell>
          <cell r="S286">
            <v>313950.94000000018</v>
          </cell>
          <cell r="T286">
            <v>0</v>
          </cell>
        </row>
        <row r="287">
          <cell r="P287">
            <v>3751428.4528287994</v>
          </cell>
          <cell r="R287">
            <v>2458437.62</v>
          </cell>
          <cell r="S287">
            <v>1105816.6632919996</v>
          </cell>
          <cell r="T287">
            <v>0</v>
          </cell>
        </row>
        <row r="288">
          <cell r="P288">
            <v>15011639.890000001</v>
          </cell>
          <cell r="R288">
            <v>2814358.13</v>
          </cell>
          <cell r="S288">
            <v>17779320</v>
          </cell>
          <cell r="T288">
            <v>44132409.101219632</v>
          </cell>
        </row>
        <row r="289">
          <cell r="P289">
            <v>-94317.518110000063</v>
          </cell>
          <cell r="R289">
            <v>2840159.93</v>
          </cell>
          <cell r="S289">
            <v>17624443.109999999</v>
          </cell>
          <cell r="T289">
            <v>0</v>
          </cell>
        </row>
        <row r="290">
          <cell r="P290">
            <v>2008108.1622212788</v>
          </cell>
          <cell r="R290">
            <v>1664189.88</v>
          </cell>
          <cell r="S290">
            <v>11443239.939999999</v>
          </cell>
          <cell r="T290">
            <v>1003937.2710425612</v>
          </cell>
        </row>
        <row r="292">
          <cell r="P292">
            <v>2076617.8699999992</v>
          </cell>
          <cell r="R292">
            <v>3001913.7399999998</v>
          </cell>
          <cell r="S292">
            <v>17831411.999999996</v>
          </cell>
          <cell r="T292">
            <v>1331813.1199965626</v>
          </cell>
        </row>
        <row r="293">
          <cell r="P293">
            <v>860590.1024692799</v>
          </cell>
          <cell r="Q293"/>
          <cell r="R293">
            <v>587126.38000000012</v>
          </cell>
          <cell r="S293">
            <v>0</v>
          </cell>
          <cell r="T293">
            <v>0</v>
          </cell>
        </row>
        <row r="294">
          <cell r="P294">
            <v>3218407.5900000003</v>
          </cell>
          <cell r="Q294"/>
          <cell r="R294">
            <v>367035.4499999999</v>
          </cell>
          <cell r="S294">
            <v>884125.44500000007</v>
          </cell>
          <cell r="T294">
            <v>1.1641532182693481E-10</v>
          </cell>
        </row>
        <row r="295">
          <cell r="P295">
            <v>10420005.460000001</v>
          </cell>
          <cell r="Q295"/>
          <cell r="R295">
            <v>729880.66454287991</v>
          </cell>
          <cell r="S295">
            <v>3736802.26</v>
          </cell>
          <cell r="T295">
            <v>0</v>
          </cell>
        </row>
        <row r="296">
          <cell r="P296">
            <v>4346316.5754666664</v>
          </cell>
          <cell r="Q296"/>
          <cell r="R296">
            <v>1705810.5499999998</v>
          </cell>
          <cell r="S296">
            <v>719495.25599800004</v>
          </cell>
          <cell r="T296">
            <v>0</v>
          </cell>
        </row>
        <row r="297">
          <cell r="P297">
            <v>4427463.1917000003</v>
          </cell>
          <cell r="Q297"/>
          <cell r="R297">
            <v>554474.5199999999</v>
          </cell>
          <cell r="S297">
            <v>2824696.6446039202</v>
          </cell>
          <cell r="T297">
            <v>0</v>
          </cell>
        </row>
        <row r="298">
          <cell r="P298">
            <v>6968602.897110614</v>
          </cell>
          <cell r="Q298">
            <v>0</v>
          </cell>
          <cell r="R298">
            <v>1239934.29</v>
          </cell>
          <cell r="S298">
            <v>7389000</v>
          </cell>
          <cell r="T298">
            <v>13051687.394221228</v>
          </cell>
        </row>
        <row r="299">
          <cell r="P299"/>
          <cell r="Q299"/>
          <cell r="R299">
            <v>1618117.19564</v>
          </cell>
          <cell r="S299">
            <v>0</v>
          </cell>
          <cell r="T299">
            <v>0</v>
          </cell>
        </row>
        <row r="300">
          <cell r="P300">
            <v>3369695.1058486667</v>
          </cell>
          <cell r="Q300"/>
          <cell r="R300">
            <v>101933.18000000005</v>
          </cell>
          <cell r="S300">
            <v>0</v>
          </cell>
          <cell r="T300">
            <v>6309576.9872653726</v>
          </cell>
        </row>
        <row r="301">
          <cell r="P301">
            <v>7697397.540000001</v>
          </cell>
          <cell r="Q301"/>
          <cell r="R301">
            <v>1535156.8941092999</v>
          </cell>
          <cell r="S301">
            <v>0</v>
          </cell>
          <cell r="T301">
            <v>0</v>
          </cell>
        </row>
        <row r="302">
          <cell r="P302"/>
          <cell r="Q302"/>
          <cell r="R302">
            <v>1572957.3080766001</v>
          </cell>
          <cell r="S302">
            <v>0</v>
          </cell>
          <cell r="T302">
            <v>0</v>
          </cell>
        </row>
        <row r="303">
          <cell r="P303">
            <v>2008108.1622212788</v>
          </cell>
          <cell r="Q303"/>
          <cell r="R303">
            <v>1352653.874176</v>
          </cell>
          <cell r="S303">
            <v>0</v>
          </cell>
          <cell r="T303">
            <v>0</v>
          </cell>
        </row>
        <row r="304">
          <cell r="P304"/>
          <cell r="Q304"/>
          <cell r="R304">
            <v>1352798.894176</v>
          </cell>
          <cell r="S304">
            <v>0</v>
          </cell>
          <cell r="T304">
            <v>0</v>
          </cell>
        </row>
        <row r="305">
          <cell r="P305">
            <v>5099328.6800000006</v>
          </cell>
          <cell r="Q305"/>
          <cell r="R305">
            <v>1189922.94</v>
          </cell>
          <cell r="S305">
            <v>8838000</v>
          </cell>
          <cell r="T305">
            <v>10096852.359999999</v>
          </cell>
        </row>
        <row r="306">
          <cell r="P306">
            <v>5122468.8333333321</v>
          </cell>
          <cell r="Q306"/>
          <cell r="R306">
            <v>1400822.9600000002</v>
          </cell>
          <cell r="S306">
            <v>9406440</v>
          </cell>
          <cell r="T306">
            <v>9704815.8666666634</v>
          </cell>
        </row>
        <row r="307">
          <cell r="P307">
            <v>8252506.3266666681</v>
          </cell>
          <cell r="Q307"/>
          <cell r="R307">
            <v>1403777.48</v>
          </cell>
          <cell r="S307">
            <v>9859680</v>
          </cell>
          <cell r="T307">
            <v>15980613.800933335</v>
          </cell>
        </row>
        <row r="308">
          <cell r="P308"/>
          <cell r="Q308"/>
          <cell r="R308">
            <v>1263115.48</v>
          </cell>
          <cell r="S308">
            <v>0</v>
          </cell>
          <cell r="T308">
            <v>0</v>
          </cell>
        </row>
        <row r="309">
          <cell r="P309">
            <v>10420005.460000001</v>
          </cell>
          <cell r="Q309"/>
          <cell r="R309">
            <v>1874829.5699999998</v>
          </cell>
          <cell r="S309">
            <v>1129604.4097793046</v>
          </cell>
          <cell r="T309">
            <v>0</v>
          </cell>
        </row>
        <row r="310">
          <cell r="P310">
            <v>3679232.53</v>
          </cell>
          <cell r="Q310"/>
          <cell r="R310">
            <v>0</v>
          </cell>
          <cell r="S310">
            <v>2492510.13</v>
          </cell>
          <cell r="T310">
            <v>1542935.652847081</v>
          </cell>
        </row>
        <row r="311">
          <cell r="P311">
            <v>2477837.44</v>
          </cell>
          <cell r="Q311"/>
          <cell r="R311">
            <v>992982.4</v>
          </cell>
          <cell r="S311">
            <v>4937533.0449089203</v>
          </cell>
          <cell r="T311">
            <v>-22064.526851199567</v>
          </cell>
        </row>
        <row r="312">
          <cell r="P312">
            <v>6968602.897110614</v>
          </cell>
          <cell r="Q312">
            <v>0</v>
          </cell>
          <cell r="R312">
            <v>2691688.4905999997</v>
          </cell>
          <cell r="S312">
            <v>1326978.7394000003</v>
          </cell>
          <cell r="T312">
            <v>0</v>
          </cell>
        </row>
        <row r="313">
          <cell r="P313">
            <v>9266556.7940246668</v>
          </cell>
          <cell r="Q313"/>
          <cell r="R313">
            <v>371756.49000000022</v>
          </cell>
          <cell r="S313">
            <v>0</v>
          </cell>
          <cell r="T313">
            <v>8043783.3300081529</v>
          </cell>
        </row>
        <row r="314">
          <cell r="P314">
            <v>9563508.5829855986</v>
          </cell>
          <cell r="Q314">
            <v>0</v>
          </cell>
          <cell r="R314">
            <v>3376163.3</v>
          </cell>
          <cell r="S314">
            <v>22953600</v>
          </cell>
          <cell r="T314">
            <v>18580972.165971205</v>
          </cell>
        </row>
        <row r="315">
          <cell r="P315"/>
          <cell r="Q315"/>
          <cell r="R315">
            <v>2325190.8199999998</v>
          </cell>
          <cell r="S315">
            <v>12350765.372334456</v>
          </cell>
          <cell r="T315">
            <v>4.6566128730773926E-10</v>
          </cell>
        </row>
        <row r="316">
          <cell r="P316"/>
          <cell r="Q316"/>
          <cell r="R316">
            <v>494347.02441200003</v>
          </cell>
          <cell r="S316">
            <v>0</v>
          </cell>
          <cell r="T316">
            <v>0</v>
          </cell>
        </row>
        <row r="317">
          <cell r="P317">
            <v>2826319.835624001</v>
          </cell>
          <cell r="Q317"/>
          <cell r="R317">
            <v>1128483.24</v>
          </cell>
          <cell r="S317">
            <v>0</v>
          </cell>
          <cell r="T317">
            <v>-2.3283064365386963E-10</v>
          </cell>
        </row>
        <row r="318">
          <cell r="P318">
            <v>5099328.6800000006</v>
          </cell>
          <cell r="Q318"/>
          <cell r="R318">
            <v>3618454.07</v>
          </cell>
          <cell r="S318">
            <v>12397164.34</v>
          </cell>
          <cell r="T318">
            <v>4.6566128730773926E-10</v>
          </cell>
        </row>
        <row r="319">
          <cell r="P319">
            <v>614563.23999999987</v>
          </cell>
          <cell r="Q319"/>
          <cell r="R319">
            <v>1696801.81</v>
          </cell>
          <cell r="S319">
            <v>5370829.2648302</v>
          </cell>
          <cell r="T319">
            <v>0</v>
          </cell>
        </row>
        <row r="320">
          <cell r="P320">
            <v>8252506.3266666681</v>
          </cell>
          <cell r="Q320"/>
          <cell r="R320">
            <v>102987.15999999992</v>
          </cell>
          <cell r="S320">
            <v>2395116.9029126205</v>
          </cell>
          <cell r="T320">
            <v>0</v>
          </cell>
        </row>
        <row r="321">
          <cell r="P321">
            <v>0</v>
          </cell>
          <cell r="Q321"/>
          <cell r="R321">
            <v>1024499.247894</v>
          </cell>
          <cell r="S321">
            <v>0</v>
          </cell>
          <cell r="T321">
            <v>0</v>
          </cell>
        </row>
        <row r="322">
          <cell r="P322">
            <v>1780478.1500000004</v>
          </cell>
          <cell r="Q322">
            <v>0</v>
          </cell>
          <cell r="R322">
            <v>1380626.28</v>
          </cell>
          <cell r="S322">
            <v>8769960</v>
          </cell>
          <cell r="T322">
            <v>0</v>
          </cell>
        </row>
        <row r="323">
          <cell r="P323">
            <v>3679232.53</v>
          </cell>
          <cell r="Q323"/>
          <cell r="R323">
            <v>907762.26</v>
          </cell>
          <cell r="S323">
            <v>927948.30090784002</v>
          </cell>
          <cell r="T323">
            <v>0</v>
          </cell>
        </row>
        <row r="324">
          <cell r="P324">
            <v>2477837.44</v>
          </cell>
          <cell r="Q324"/>
          <cell r="R324">
            <v>1024198.037306</v>
          </cell>
          <cell r="S324">
            <v>0</v>
          </cell>
          <cell r="T324">
            <v>0</v>
          </cell>
        </row>
        <row r="325">
          <cell r="P325">
            <v>9266556.7940246668</v>
          </cell>
          <cell r="Q325"/>
          <cell r="R325">
            <v>1245038.665028</v>
          </cell>
          <cell r="S325">
            <v>0</v>
          </cell>
          <cell r="T325">
            <v>0</v>
          </cell>
        </row>
        <row r="327">
          <cell r="P327">
            <v>17605158.597932905</v>
          </cell>
          <cell r="Q327">
            <v>0</v>
          </cell>
          <cell r="R327">
            <v>2797375.72</v>
          </cell>
          <cell r="S327">
            <v>18228960</v>
          </cell>
          <cell r="T327">
            <v>34749418.19586581</v>
          </cell>
        </row>
        <row r="328">
          <cell r="P328">
            <v>17148929.116796475</v>
          </cell>
          <cell r="Q328">
            <v>0</v>
          </cell>
          <cell r="R328">
            <v>2911056.81</v>
          </cell>
          <cell r="S328">
            <v>18581400</v>
          </cell>
          <cell r="T328">
            <v>33054726.633592948</v>
          </cell>
        </row>
        <row r="329">
          <cell r="P329">
            <v>3460456.0512120007</v>
          </cell>
          <cell r="Q329">
            <v>0</v>
          </cell>
          <cell r="R329">
            <v>1128483.24</v>
          </cell>
          <cell r="S329">
            <v>0</v>
          </cell>
          <cell r="T329">
            <v>2279305.75</v>
          </cell>
        </row>
        <row r="330">
          <cell r="P330"/>
          <cell r="Q330"/>
          <cell r="R330">
            <v>3618454.07</v>
          </cell>
          <cell r="S330">
            <v>1545862.696208</v>
          </cell>
          <cell r="T330">
            <v>0</v>
          </cell>
        </row>
        <row r="331">
          <cell r="P331">
            <v>614563.23999999987</v>
          </cell>
          <cell r="Q331">
            <v>0</v>
          </cell>
          <cell r="R331">
            <v>1333089.1699999997</v>
          </cell>
          <cell r="S331">
            <v>818392.73702400015</v>
          </cell>
          <cell r="T331">
            <v>0</v>
          </cell>
        </row>
        <row r="332">
          <cell r="P332"/>
          <cell r="Q332">
            <v>0</v>
          </cell>
          <cell r="R332">
            <v>2154465.066112</v>
          </cell>
          <cell r="S332">
            <v>0</v>
          </cell>
          <cell r="T332">
            <v>0</v>
          </cell>
        </row>
        <row r="333">
          <cell r="P333">
            <v>2155250.5499999993</v>
          </cell>
          <cell r="Q333">
            <v>0</v>
          </cell>
          <cell r="R333">
            <v>1611087.2</v>
          </cell>
          <cell r="S333">
            <v>9810000</v>
          </cell>
          <cell r="T333">
            <v>4275332.0999999996</v>
          </cell>
        </row>
        <row r="334">
          <cell r="P334">
            <v>8083380.5966666685</v>
          </cell>
          <cell r="Q334">
            <v>0</v>
          </cell>
          <cell r="R334">
            <v>2600624.41</v>
          </cell>
          <cell r="S334">
            <v>18799560</v>
          </cell>
          <cell r="T334">
            <v>14126541.893333334</v>
          </cell>
        </row>
        <row r="335">
          <cell r="P335"/>
          <cell r="Q335"/>
          <cell r="R335">
            <v>1982331.96</v>
          </cell>
          <cell r="S335">
            <v>220642.38624073984</v>
          </cell>
          <cell r="T335">
            <v>-19054683.453304157</v>
          </cell>
        </row>
        <row r="336">
          <cell r="P336">
            <v>705615.63750000019</v>
          </cell>
          <cell r="Q336"/>
          <cell r="R336">
            <v>252901.75</v>
          </cell>
          <cell r="S336">
            <v>1269941.4002621998</v>
          </cell>
          <cell r="T336">
            <v>0</v>
          </cell>
        </row>
        <row r="337">
          <cell r="P337">
            <v>1932870.1700000009</v>
          </cell>
          <cell r="Q337"/>
          <cell r="R337">
            <v>515460.06999999995</v>
          </cell>
          <cell r="S337">
            <v>3035783.2799999993</v>
          </cell>
          <cell r="T337">
            <v>0</v>
          </cell>
        </row>
        <row r="338">
          <cell r="P338">
            <v>1491506.5999999996</v>
          </cell>
          <cell r="Q338">
            <v>0</v>
          </cell>
          <cell r="R338">
            <v>848133.92999999993</v>
          </cell>
          <cell r="S338">
            <v>4956480</v>
          </cell>
          <cell r="T338">
            <v>2983013.1999999993</v>
          </cell>
        </row>
        <row r="339">
          <cell r="P339">
            <v>2735629.5699999994</v>
          </cell>
          <cell r="Q339">
            <v>0</v>
          </cell>
          <cell r="R339">
            <v>436046.95</v>
          </cell>
          <cell r="S339">
            <v>2624616</v>
          </cell>
          <cell r="T339">
            <v>0</v>
          </cell>
        </row>
        <row r="340">
          <cell r="P340">
            <v>1136928.2899999998</v>
          </cell>
          <cell r="Q340">
            <v>0</v>
          </cell>
          <cell r="R340">
            <v>496995.11</v>
          </cell>
          <cell r="S340">
            <v>2814740.7270599999</v>
          </cell>
          <cell r="T340">
            <v>0</v>
          </cell>
        </row>
        <row r="341">
          <cell r="P341">
            <v>2329938.9142360003</v>
          </cell>
          <cell r="Q341"/>
          <cell r="R341">
            <v>535849.51</v>
          </cell>
          <cell r="S341">
            <v>4874760</v>
          </cell>
          <cell r="T341">
            <v>3490045.8284720015</v>
          </cell>
        </row>
        <row r="342">
          <cell r="P342"/>
          <cell r="Q342">
            <v>0</v>
          </cell>
          <cell r="R342">
            <v>1333462.67</v>
          </cell>
          <cell r="S342">
            <v>704724.4702397401</v>
          </cell>
          <cell r="T342">
            <v>0</v>
          </cell>
        </row>
        <row r="343">
          <cell r="P343"/>
          <cell r="Q343">
            <v>0</v>
          </cell>
          <cell r="R343">
            <v>229835.71999999997</v>
          </cell>
          <cell r="S343">
            <v>348644.39581599995</v>
          </cell>
          <cell r="T343">
            <v>0</v>
          </cell>
        </row>
        <row r="344">
          <cell r="P344">
            <v>2155250.5499999993</v>
          </cell>
          <cell r="Q344">
            <v>0</v>
          </cell>
          <cell r="R344">
            <v>1566212.3599999999</v>
          </cell>
          <cell r="S344">
            <v>4881278.1777165607</v>
          </cell>
          <cell r="T344">
            <v>9.3132257461547852E-10</v>
          </cell>
        </row>
        <row r="345">
          <cell r="P345">
            <v>8083380.5966666685</v>
          </cell>
          <cell r="Q345"/>
          <cell r="R345">
            <v>1244325.77</v>
          </cell>
          <cell r="S345">
            <v>1811928.0563249597</v>
          </cell>
          <cell r="T345">
            <v>0</v>
          </cell>
        </row>
        <row r="346">
          <cell r="P346">
            <v>-13067801.45375926</v>
          </cell>
          <cell r="Q346"/>
          <cell r="R346">
            <v>292223.84999999998</v>
          </cell>
          <cell r="S346">
            <v>308968.169536</v>
          </cell>
          <cell r="T346"/>
        </row>
        <row r="347">
          <cell r="P347">
            <v>2967693.21</v>
          </cell>
          <cell r="Q347"/>
          <cell r="R347">
            <v>294150.18</v>
          </cell>
          <cell r="S347">
            <v>254934.43</v>
          </cell>
          <cell r="T347">
            <v>0</v>
          </cell>
        </row>
        <row r="348">
          <cell r="P348">
            <v>3041730.66</v>
          </cell>
          <cell r="Q348"/>
          <cell r="R348">
            <v>715787.88</v>
          </cell>
          <cell r="S348">
            <v>3319460.8316984079</v>
          </cell>
          <cell r="T348">
            <v>1.1641532182693481E-10</v>
          </cell>
        </row>
        <row r="349">
          <cell r="P349">
            <v>3841991.13</v>
          </cell>
          <cell r="Q349"/>
          <cell r="R349">
            <v>781595.57</v>
          </cell>
          <cell r="S349">
            <v>1166192.8674377711</v>
          </cell>
          <cell r="T349">
            <v>0</v>
          </cell>
        </row>
        <row r="350">
          <cell r="P350">
            <v>1932870.1700000009</v>
          </cell>
          <cell r="Q350"/>
          <cell r="R350">
            <v>507657.83</v>
          </cell>
          <cell r="S350">
            <v>857549.6691366029</v>
          </cell>
          <cell r="T350">
            <v>0</v>
          </cell>
        </row>
        <row r="351">
          <cell r="P351">
            <v>1491506.5999999996</v>
          </cell>
          <cell r="Q351"/>
          <cell r="R351">
            <v>1000336.4099999999</v>
          </cell>
          <cell r="S351">
            <v>5349695.0846001264</v>
          </cell>
          <cell r="T351">
            <v>0</v>
          </cell>
        </row>
        <row r="352">
          <cell r="P352">
            <v>-8321.410000000149</v>
          </cell>
          <cell r="Q352"/>
          <cell r="R352">
            <v>657903.43999999994</v>
          </cell>
          <cell r="S352">
            <v>1291711.7472890539</v>
          </cell>
          <cell r="T352">
            <v>0</v>
          </cell>
        </row>
        <row r="353">
          <cell r="P353">
            <v>1628827.3633333335</v>
          </cell>
          <cell r="Q353"/>
          <cell r="R353">
            <v>721179.51</v>
          </cell>
          <cell r="S353">
            <v>227393.49123749381</v>
          </cell>
          <cell r="T353">
            <v>0</v>
          </cell>
        </row>
        <row r="354">
          <cell r="P354">
            <v>1136928.2899999998</v>
          </cell>
          <cell r="Q354"/>
          <cell r="R354">
            <v>176134.18</v>
          </cell>
          <cell r="S354">
            <v>545467.06847460382</v>
          </cell>
          <cell r="T354">
            <v>2.9103830456733704E-11</v>
          </cell>
        </row>
        <row r="355">
          <cell r="P355">
            <v>3326870.9585851147</v>
          </cell>
          <cell r="Q355"/>
          <cell r="R355">
            <v>1067245.3</v>
          </cell>
          <cell r="S355">
            <v>10033560</v>
          </cell>
          <cell r="T355">
            <v>6665588.3171702288</v>
          </cell>
        </row>
        <row r="356">
          <cell r="P356"/>
          <cell r="Q356"/>
          <cell r="R356">
            <v>328042.14999999997</v>
          </cell>
          <cell r="S356">
            <v>623428.97648802749</v>
          </cell>
          <cell r="T356">
            <v>0</v>
          </cell>
        </row>
        <row r="357">
          <cell r="P357">
            <v>1463463.5249940937</v>
          </cell>
          <cell r="Q357"/>
          <cell r="R357">
            <v>729407.92999999993</v>
          </cell>
          <cell r="S357">
            <v>4724144.9042710308</v>
          </cell>
          <cell r="T357">
            <v>0</v>
          </cell>
        </row>
        <row r="358">
          <cell r="P358">
            <v>2175839.7215601779</v>
          </cell>
          <cell r="Q358"/>
          <cell r="R358">
            <v>484836.6</v>
          </cell>
          <cell r="S358">
            <v>3455280</v>
          </cell>
          <cell r="T358">
            <v>2738342.275090361</v>
          </cell>
        </row>
        <row r="359">
          <cell r="P359"/>
          <cell r="Q359"/>
          <cell r="R359">
            <v>706857.29</v>
          </cell>
          <cell r="S359">
            <v>758694.68244965025</v>
          </cell>
          <cell r="T359">
            <v>0</v>
          </cell>
        </row>
        <row r="360">
          <cell r="P360"/>
          <cell r="Q360"/>
          <cell r="R360">
            <v>356038.84078929177</v>
          </cell>
          <cell r="S360">
            <v>3086914.8996206718</v>
          </cell>
          <cell r="T360">
            <v>0</v>
          </cell>
        </row>
        <row r="361">
          <cell r="P361"/>
          <cell r="Q361"/>
          <cell r="R361">
            <v>1654968.55</v>
          </cell>
          <cell r="S361">
            <v>1937595.2237581315</v>
          </cell>
          <cell r="T361">
            <v>0</v>
          </cell>
        </row>
        <row r="362">
          <cell r="P362"/>
          <cell r="Q362"/>
          <cell r="R362">
            <v>841384.12</v>
          </cell>
          <cell r="S362">
            <v>2285762.1555683129</v>
          </cell>
        </row>
        <row r="363">
          <cell r="P363"/>
          <cell r="Q363"/>
          <cell r="R363">
            <v>1127247.27</v>
          </cell>
          <cell r="S363">
            <v>1898524.0797836999</v>
          </cell>
          <cell r="T363"/>
        </row>
        <row r="364">
          <cell r="P364">
            <v>707152.37000000011</v>
          </cell>
          <cell r="Q364"/>
          <cell r="R364">
            <v>34758.819999999992</v>
          </cell>
          <cell r="S364">
            <v>677581.02</v>
          </cell>
          <cell r="T364">
            <v>2591.4000000000233</v>
          </cell>
        </row>
        <row r="365">
          <cell r="P365">
            <v>3116048.5975319995</v>
          </cell>
          <cell r="Q365"/>
          <cell r="R365">
            <v>737257.37</v>
          </cell>
          <cell r="S365">
            <v>5243040</v>
          </cell>
          <cell r="T365">
            <v>0</v>
          </cell>
        </row>
        <row r="366">
          <cell r="P366">
            <v>8256452.290922001</v>
          </cell>
          <cell r="Q366"/>
          <cell r="R366">
            <v>974902.85999999987</v>
          </cell>
          <cell r="S366">
            <v>5953412.3164553307</v>
          </cell>
          <cell r="T366">
            <v>0</v>
          </cell>
        </row>
        <row r="367">
          <cell r="P367"/>
          <cell r="Q367">
            <v>718272</v>
          </cell>
          <cell r="R367">
            <v>3024815.9801999996</v>
          </cell>
          <cell r="S367">
            <v>3439632.0198000004</v>
          </cell>
          <cell r="T367">
            <v>0</v>
          </cell>
        </row>
        <row r="369">
          <cell r="P369"/>
          <cell r="Q369"/>
          <cell r="R369">
            <v>486776.28</v>
          </cell>
          <cell r="S369">
            <v>1249056.81863332</v>
          </cell>
          <cell r="T369">
            <v>0</v>
          </cell>
        </row>
        <row r="370">
          <cell r="P370"/>
          <cell r="Q370"/>
          <cell r="R370">
            <v>641924.76</v>
          </cell>
          <cell r="S370">
            <v>17712.43081835995</v>
          </cell>
          <cell r="T370">
            <v>0</v>
          </cell>
        </row>
        <row r="371">
          <cell r="P371"/>
          <cell r="Q371"/>
          <cell r="R371">
            <v>411767.56</v>
          </cell>
          <cell r="S371">
            <v>134185.52824800002</v>
          </cell>
          <cell r="T371">
            <v>0</v>
          </cell>
        </row>
        <row r="372">
          <cell r="P372">
            <v>3326870.9585851147</v>
          </cell>
          <cell r="Q372"/>
          <cell r="R372">
            <v>1151990.4382</v>
          </cell>
          <cell r="S372">
            <v>172771.61975703994</v>
          </cell>
          <cell r="T372">
            <v>0</v>
          </cell>
        </row>
        <row r="373">
          <cell r="P373"/>
          <cell r="Q373"/>
          <cell r="R373">
            <v>2726855.4739999999</v>
          </cell>
          <cell r="S373">
            <v>2847968.8659999999</v>
          </cell>
          <cell r="T373">
            <v>0</v>
          </cell>
        </row>
        <row r="374">
          <cell r="P374">
            <v>1633456.4588733336</v>
          </cell>
          <cell r="Q374"/>
          <cell r="R374">
            <v>1074656.2037799999</v>
          </cell>
          <cell r="S374">
            <v>9008594.6039999984</v>
          </cell>
          <cell r="T374">
            <v>2876187.038146669</v>
          </cell>
        </row>
        <row r="375">
          <cell r="P375">
            <v>2175839.7215601779</v>
          </cell>
          <cell r="Q375"/>
          <cell r="R375">
            <v>1371899.6118999999</v>
          </cell>
          <cell r="S375">
            <v>1099496.4881000002</v>
          </cell>
          <cell r="T375">
            <v>0</v>
          </cell>
        </row>
        <row r="376">
          <cell r="P376">
            <v>20522777.230000004</v>
          </cell>
          <cell r="Q376"/>
          <cell r="R376">
            <v>3546012.3361999998</v>
          </cell>
          <cell r="S376">
            <v>10611481.079072803</v>
          </cell>
          <cell r="T376">
            <v>13380219.506258331</v>
          </cell>
        </row>
        <row r="377">
          <cell r="P377">
            <v>392663.06000000006</v>
          </cell>
          <cell r="Q377"/>
          <cell r="R377">
            <v>1397271.15</v>
          </cell>
          <cell r="S377">
            <v>1525382.5943820002</v>
          </cell>
          <cell r="T377">
            <v>0</v>
          </cell>
        </row>
        <row r="378">
          <cell r="P378"/>
          <cell r="Q378"/>
          <cell r="R378">
            <v>1446929.3654</v>
          </cell>
          <cell r="S378">
            <v>883099.95760000031</v>
          </cell>
          <cell r="T378">
            <v>0</v>
          </cell>
        </row>
        <row r="379">
          <cell r="P379">
            <v>0</v>
          </cell>
          <cell r="Q379"/>
          <cell r="R379">
            <v>1293797.6600000001</v>
          </cell>
          <cell r="S379">
            <v>647568.09113399987</v>
          </cell>
          <cell r="T379">
            <v>0</v>
          </cell>
        </row>
        <row r="380">
          <cell r="P380"/>
          <cell r="Q380"/>
          <cell r="R380">
            <v>589579.19999999995</v>
          </cell>
          <cell r="S380">
            <v>887703.17243999988</v>
          </cell>
          <cell r="T380">
            <v>1.1641532182693481E-10</v>
          </cell>
        </row>
        <row r="381">
          <cell r="P381">
            <v>0</v>
          </cell>
          <cell r="Q381"/>
          <cell r="R381">
            <v>899609.91</v>
          </cell>
          <cell r="S381">
            <v>989458.60886799998</v>
          </cell>
          <cell r="T381">
            <v>0</v>
          </cell>
        </row>
        <row r="382">
          <cell r="P382">
            <v>0</v>
          </cell>
          <cell r="Q382"/>
          <cell r="R382">
            <v>626793.46</v>
          </cell>
          <cell r="S382">
            <v>909227.6828999999</v>
          </cell>
          <cell r="T382">
            <v>0</v>
          </cell>
        </row>
        <row r="383">
          <cell r="P383"/>
          <cell r="Q383"/>
          <cell r="R383">
            <v>992178.5199999999</v>
          </cell>
          <cell r="S383">
            <v>351826.20000000007</v>
          </cell>
          <cell r="T383">
            <v>0</v>
          </cell>
        </row>
        <row r="384">
          <cell r="P384">
            <v>707152.37000000011</v>
          </cell>
          <cell r="Q384"/>
          <cell r="R384">
            <v>727887.47</v>
          </cell>
          <cell r="S384">
            <v>825284.159552</v>
          </cell>
          <cell r="T384">
            <v>0</v>
          </cell>
        </row>
        <row r="385">
          <cell r="P385">
            <v>3297163.38</v>
          </cell>
          <cell r="Q385"/>
          <cell r="R385">
            <v>685177.66</v>
          </cell>
          <cell r="S385">
            <v>842489.14406399999</v>
          </cell>
          <cell r="T385">
            <v>0</v>
          </cell>
        </row>
        <row r="386">
          <cell r="P386">
            <v>2814922.1966666668</v>
          </cell>
          <cell r="Q386"/>
          <cell r="R386">
            <v>710136.45</v>
          </cell>
          <cell r="S386">
            <v>4896000</v>
          </cell>
          <cell r="T386">
            <v>5250672.7093333341</v>
          </cell>
        </row>
        <row r="387">
          <cell r="P387">
            <v>5180548.3166666673</v>
          </cell>
          <cell r="Q387">
            <v>0</v>
          </cell>
          <cell r="R387">
            <v>1173314.25</v>
          </cell>
          <cell r="S387">
            <v>7494480</v>
          </cell>
          <cell r="T387">
            <v>10154221.582733333</v>
          </cell>
        </row>
        <row r="388">
          <cell r="P388"/>
          <cell r="Q388">
            <v>718272</v>
          </cell>
          <cell r="R388">
            <v>1469363.46</v>
          </cell>
          <cell r="S388">
            <v>995942.70244400017</v>
          </cell>
          <cell r="T388">
            <v>0</v>
          </cell>
        </row>
        <row r="389">
          <cell r="P389">
            <v>985967.48999999906</v>
          </cell>
          <cell r="Q389"/>
          <cell r="R389">
            <v>680832.86</v>
          </cell>
          <cell r="S389">
            <v>902117.33376799978</v>
          </cell>
          <cell r="T389">
            <v>0</v>
          </cell>
        </row>
        <row r="390">
          <cell r="P390">
            <v>1384853.583333333</v>
          </cell>
          <cell r="Q390"/>
          <cell r="R390">
            <v>665157.30000000005</v>
          </cell>
          <cell r="S390">
            <v>4622400</v>
          </cell>
          <cell r="T390">
            <v>1792744.1115666665</v>
          </cell>
        </row>
        <row r="391">
          <cell r="P391">
            <v>1355261.3500000003</v>
          </cell>
          <cell r="Q391"/>
          <cell r="R391">
            <v>752711.21000000008</v>
          </cell>
          <cell r="S391">
            <v>4605120</v>
          </cell>
          <cell r="T391">
            <v>1750738.7203000002</v>
          </cell>
        </row>
        <row r="392">
          <cell r="P392"/>
          <cell r="Q392"/>
          <cell r="R392">
            <v>578844.92999999993</v>
          </cell>
          <cell r="S392">
            <v>1021569.515874</v>
          </cell>
          <cell r="T392">
            <v>0</v>
          </cell>
        </row>
        <row r="393">
          <cell r="P393">
            <v>1285124.3091186676</v>
          </cell>
          <cell r="Q393"/>
          <cell r="R393">
            <v>654136.55000000005</v>
          </cell>
          <cell r="S393">
            <v>4770324</v>
          </cell>
          <cell r="T393">
            <v>2396483.6482373355</v>
          </cell>
        </row>
        <row r="394">
          <cell r="P394">
            <v>1377978.3782219996</v>
          </cell>
          <cell r="Q394"/>
          <cell r="R394">
            <v>714599.55</v>
          </cell>
          <cell r="S394">
            <v>4582800</v>
          </cell>
          <cell r="T394">
            <v>2582348.0564439995</v>
          </cell>
        </row>
        <row r="395">
          <cell r="P395">
            <v>1633456.4588733336</v>
          </cell>
          <cell r="Q395"/>
          <cell r="R395">
            <v>1168598.31</v>
          </cell>
          <cell r="S395">
            <v>1941588.9100000001</v>
          </cell>
          <cell r="T395">
            <v>0</v>
          </cell>
        </row>
        <row r="396">
          <cell r="P396"/>
          <cell r="Q396"/>
          <cell r="R396">
            <v>1009148.89</v>
          </cell>
          <cell r="S396">
            <v>5433939.0100000007</v>
          </cell>
          <cell r="T396">
            <v>0</v>
          </cell>
        </row>
        <row r="397">
          <cell r="P397">
            <v>3358599.8842666685</v>
          </cell>
          <cell r="Q397"/>
          <cell r="R397">
            <v>1299043.8223999999</v>
          </cell>
          <cell r="S397">
            <v>9401926.3200000003</v>
          </cell>
          <cell r="T397">
            <v>5965625.253333332</v>
          </cell>
        </row>
        <row r="398">
          <cell r="P398">
            <v>3443225.4799953331</v>
          </cell>
          <cell r="Q398"/>
          <cell r="R398">
            <v>1581149.0367999999</v>
          </cell>
          <cell r="S398">
            <v>9988626.2400000002</v>
          </cell>
          <cell r="T398">
            <v>6332855.848990662</v>
          </cell>
        </row>
        <row r="399">
          <cell r="P399"/>
          <cell r="Q399"/>
          <cell r="R399">
            <v>2366806.17</v>
          </cell>
          <cell r="S399">
            <v>10241985.8531</v>
          </cell>
          <cell r="T399">
            <v>0</v>
          </cell>
        </row>
        <row r="400">
          <cell r="P400"/>
          <cell r="Q400"/>
          <cell r="R400">
            <v>0</v>
          </cell>
          <cell r="S400">
            <v>11997336.196299998</v>
          </cell>
          <cell r="T400">
            <v>0</v>
          </cell>
        </row>
        <row r="401">
          <cell r="P401">
            <v>1179956.7183533337</v>
          </cell>
          <cell r="Q401"/>
          <cell r="R401">
            <v>634170.78</v>
          </cell>
          <cell r="S401">
            <v>4912920</v>
          </cell>
          <cell r="T401">
            <v>2072389.0967066661</v>
          </cell>
        </row>
        <row r="402">
          <cell r="P402"/>
          <cell r="Q402"/>
          <cell r="R402">
            <v>1140088.7800000003</v>
          </cell>
          <cell r="S402">
            <v>13962314.353742398</v>
          </cell>
          <cell r="T402">
            <v>0</v>
          </cell>
        </row>
        <row r="403">
          <cell r="P403"/>
          <cell r="Q403"/>
          <cell r="R403">
            <v>1315469.3506400001</v>
          </cell>
          <cell r="S403">
            <v>4024866.1503632003</v>
          </cell>
          <cell r="T403">
            <v>0</v>
          </cell>
        </row>
        <row r="404">
          <cell r="P404"/>
          <cell r="Q404"/>
          <cell r="R404">
            <v>5532618.585</v>
          </cell>
          <cell r="S404">
            <v>19668245.138121601</v>
          </cell>
          <cell r="T404">
            <v>9.3132257461547852E-10</v>
          </cell>
        </row>
        <row r="405">
          <cell r="P405"/>
          <cell r="Q405"/>
          <cell r="R405">
            <v>1484681.68870748</v>
          </cell>
          <cell r="S405">
            <v>13424976.39851572</v>
          </cell>
          <cell r="T405">
            <v>0</v>
          </cell>
        </row>
        <row r="406">
          <cell r="P406">
            <v>11067050.84</v>
          </cell>
          <cell r="Q406"/>
          <cell r="R406">
            <v>4700408.8283999991</v>
          </cell>
          <cell r="S406">
            <v>14473887.709999997</v>
          </cell>
          <cell r="T406">
            <v>9417233.2257820107</v>
          </cell>
        </row>
        <row r="407">
          <cell r="P407">
            <v>4675363.0278000021</v>
          </cell>
          <cell r="Q407"/>
          <cell r="R407">
            <v>1721639.844</v>
          </cell>
          <cell r="S407">
            <v>11664367.199999999</v>
          </cell>
          <cell r="T407">
            <v>6334081.8528000005</v>
          </cell>
        </row>
        <row r="408">
          <cell r="P408">
            <v>5180548.3166666673</v>
          </cell>
          <cell r="Q408"/>
          <cell r="R408">
            <v>1375698.0906</v>
          </cell>
          <cell r="S408">
            <v>7482476.0790719995</v>
          </cell>
          <cell r="T408">
            <v>0</v>
          </cell>
        </row>
        <row r="409">
          <cell r="P409"/>
          <cell r="Q409"/>
          <cell r="R409">
            <v>1477419.7452</v>
          </cell>
          <cell r="S409">
            <v>6003938.2753419997</v>
          </cell>
          <cell r="T409">
            <v>0</v>
          </cell>
        </row>
        <row r="410">
          <cell r="P410"/>
          <cell r="Q410"/>
          <cell r="R410">
            <v>1188247.6894</v>
          </cell>
          <cell r="S410">
            <v>1004353.9060139996</v>
          </cell>
          <cell r="T410">
            <v>0</v>
          </cell>
        </row>
        <row r="411">
          <cell r="P411">
            <v>1384853.583333333</v>
          </cell>
          <cell r="Q411"/>
          <cell r="R411">
            <v>1109273.1399999999</v>
          </cell>
          <cell r="S411">
            <v>4874050.1059000008</v>
          </cell>
          <cell r="T411">
            <v>0</v>
          </cell>
        </row>
        <row r="412">
          <cell r="P412">
            <v>1355261.3500000003</v>
          </cell>
          <cell r="Q412"/>
          <cell r="R412">
            <v>597799.18099999998</v>
          </cell>
          <cell r="S412">
            <v>7283384.3099999987</v>
          </cell>
          <cell r="T412">
            <v>1934691.8931793217</v>
          </cell>
        </row>
        <row r="413">
          <cell r="P413"/>
          <cell r="Q413"/>
          <cell r="R413">
            <v>779041.65720000002</v>
          </cell>
          <cell r="S413">
            <v>2416322.19264</v>
          </cell>
          <cell r="T413">
            <v>0</v>
          </cell>
        </row>
        <row r="414">
          <cell r="P414">
            <v>0</v>
          </cell>
          <cell r="Q414"/>
          <cell r="R414">
            <v>2349964.75</v>
          </cell>
          <cell r="S414">
            <v>10775219.725528559</v>
          </cell>
          <cell r="T414">
            <v>0</v>
          </cell>
        </row>
        <row r="415">
          <cell r="P415">
            <v>0</v>
          </cell>
          <cell r="Q415"/>
          <cell r="R415">
            <v>2600649.54</v>
          </cell>
          <cell r="S415">
            <v>17146607.954666998</v>
          </cell>
          <cell r="T415">
            <v>0</v>
          </cell>
        </row>
        <row r="416">
          <cell r="P416">
            <v>7143822.512739202</v>
          </cell>
          <cell r="Q416"/>
          <cell r="R416">
            <v>674709.6</v>
          </cell>
          <cell r="S416">
            <v>16639730.8258608</v>
          </cell>
          <cell r="T416">
            <v>0</v>
          </cell>
        </row>
        <row r="417">
          <cell r="P417">
            <v>686514.50749999983</v>
          </cell>
          <cell r="Q417"/>
          <cell r="R417">
            <v>1268360.26</v>
          </cell>
          <cell r="S417">
            <v>4495708.7175394017</v>
          </cell>
          <cell r="T417">
            <v>0</v>
          </cell>
        </row>
        <row r="418">
          <cell r="P418">
            <v>3489956.9766666661</v>
          </cell>
          <cell r="Q418"/>
          <cell r="R418">
            <v>287079</v>
          </cell>
          <cell r="S418">
            <v>10132200</v>
          </cell>
          <cell r="T418">
            <v>2934371.0351833329</v>
          </cell>
        </row>
        <row r="419">
          <cell r="P419">
            <v>6483712.7524907999</v>
          </cell>
          <cell r="Q419"/>
          <cell r="R419">
            <v>2568531.09</v>
          </cell>
          <cell r="S419">
            <v>19762920</v>
          </cell>
          <cell r="T419">
            <v>0</v>
          </cell>
        </row>
        <row r="420">
          <cell r="P420">
            <v>10129603.428118331</v>
          </cell>
          <cell r="Q420"/>
          <cell r="R420">
            <v>2387600.1</v>
          </cell>
          <cell r="S420">
            <v>17701560</v>
          </cell>
          <cell r="T420">
            <v>2355249.3838146701</v>
          </cell>
        </row>
        <row r="421">
          <cell r="P421">
            <v>886090.96180000121</v>
          </cell>
          <cell r="Q421"/>
          <cell r="R421">
            <v>2164436.5467999997</v>
          </cell>
          <cell r="S421">
            <v>17413302.239999998</v>
          </cell>
          <cell r="T421">
            <v>1546650.0814000033</v>
          </cell>
        </row>
        <row r="422">
          <cell r="P422">
            <v>930573.32250000024</v>
          </cell>
          <cell r="Q422"/>
          <cell r="R422">
            <v>1062863.97</v>
          </cell>
          <cell r="S422">
            <v>1640052.0527695997</v>
          </cell>
          <cell r="T422">
            <v>0</v>
          </cell>
        </row>
        <row r="423">
          <cell r="P423">
            <v>1398916.8396544</v>
          </cell>
          <cell r="Q423"/>
          <cell r="R423">
            <v>100255.8</v>
          </cell>
          <cell r="S423">
            <v>0</v>
          </cell>
          <cell r="T423">
            <v>333673.49010941229</v>
          </cell>
        </row>
        <row r="424">
          <cell r="P424">
            <v>2682675.2085677697</v>
          </cell>
          <cell r="Q424"/>
          <cell r="R424">
            <v>133038.6</v>
          </cell>
          <cell r="S424">
            <v>4695480</v>
          </cell>
          <cell r="T424">
            <v>523226.15713554062</v>
          </cell>
        </row>
        <row r="425">
          <cell r="P425">
            <v>2843838.4141774648</v>
          </cell>
          <cell r="Q425"/>
          <cell r="R425">
            <v>127673.4</v>
          </cell>
          <cell r="S425">
            <v>3216138.08</v>
          </cell>
          <cell r="T425">
            <v>3500756.3641976733</v>
          </cell>
        </row>
        <row r="426">
          <cell r="P426">
            <v>331357.31247093313</v>
          </cell>
          <cell r="Q426"/>
          <cell r="R426">
            <v>466035.92</v>
          </cell>
          <cell r="S426">
            <v>4528440</v>
          </cell>
          <cell r="T426">
            <v>1322917.7649418665</v>
          </cell>
        </row>
        <row r="427">
          <cell r="P427">
            <v>1386547.1137890664</v>
          </cell>
          <cell r="Q427"/>
          <cell r="R427">
            <v>231788.24</v>
          </cell>
          <cell r="S427">
            <v>4466725.7279000003</v>
          </cell>
          <cell r="T427">
            <v>3017508.3841176555</v>
          </cell>
        </row>
        <row r="428">
          <cell r="P428">
            <v>6571877.8117803605</v>
          </cell>
          <cell r="Q428"/>
          <cell r="R428">
            <v>1145854.1600000001</v>
          </cell>
          <cell r="S428">
            <v>24236349.119999997</v>
          </cell>
          <cell r="T428">
            <v>28796859.413251325</v>
          </cell>
        </row>
        <row r="429">
          <cell r="P429">
            <v>3797418.9970000004</v>
          </cell>
          <cell r="Q429"/>
          <cell r="R429">
            <v>1250766.44</v>
          </cell>
          <cell r="S429">
            <v>1113637.9096748391</v>
          </cell>
          <cell r="T429">
            <v>0</v>
          </cell>
        </row>
        <row r="430">
          <cell r="P430">
            <v>1276378.0712522666</v>
          </cell>
          <cell r="Q430"/>
          <cell r="R430">
            <v>169987.72999999998</v>
          </cell>
          <cell r="S430">
            <v>4469610.4400000004</v>
          </cell>
          <cell r="T430">
            <v>2278320.1825045338</v>
          </cell>
        </row>
        <row r="431">
          <cell r="P431">
            <v>1104159.1966666665</v>
          </cell>
          <cell r="Q431"/>
          <cell r="R431">
            <v>716576.24</v>
          </cell>
          <cell r="S431">
            <v>4853160</v>
          </cell>
          <cell r="T431">
            <v>767204.27575933374</v>
          </cell>
        </row>
        <row r="432">
          <cell r="P432"/>
          <cell r="Q432"/>
          <cell r="R432">
            <v>495536.14</v>
          </cell>
          <cell r="S432">
            <v>3082024.4333999995</v>
          </cell>
          <cell r="T432">
            <v>5.8207660913467407E-11</v>
          </cell>
        </row>
        <row r="433">
          <cell r="P433">
            <v>3312889.3466666671</v>
          </cell>
          <cell r="Q433"/>
          <cell r="R433">
            <v>1493518.79</v>
          </cell>
          <cell r="S433">
            <v>10619640</v>
          </cell>
          <cell r="T433">
            <v>2539401.0255113319</v>
          </cell>
        </row>
        <row r="434">
          <cell r="P434">
            <v>489303.72999999952</v>
          </cell>
          <cell r="Q434"/>
          <cell r="R434">
            <v>863657.62</v>
          </cell>
          <cell r="S434">
            <v>6415920</v>
          </cell>
          <cell r="T434">
            <v>0</v>
          </cell>
        </row>
        <row r="435">
          <cell r="P435"/>
          <cell r="Q435"/>
          <cell r="R435">
            <v>1643881.3900000001</v>
          </cell>
          <cell r="S435">
            <v>8520160.7199999988</v>
          </cell>
          <cell r="T435">
            <v>0</v>
          </cell>
        </row>
        <row r="436">
          <cell r="P436">
            <v>3324827.2333333329</v>
          </cell>
          <cell r="Q436"/>
          <cell r="R436">
            <v>444526.31000000006</v>
          </cell>
          <cell r="S436">
            <v>3594082.05</v>
          </cell>
          <cell r="T436">
            <v>1958133.2646326674</v>
          </cell>
        </row>
        <row r="437">
          <cell r="P437">
            <v>5051149.9263384379</v>
          </cell>
          <cell r="Q437"/>
          <cell r="R437">
            <v>370716.75999999995</v>
          </cell>
          <cell r="S437">
            <v>1440406.782842</v>
          </cell>
          <cell r="T437">
            <v>0</v>
          </cell>
        </row>
        <row r="438">
          <cell r="P438">
            <v>6153125.9248689683</v>
          </cell>
          <cell r="Q438"/>
          <cell r="R438">
            <v>1380937.2</v>
          </cell>
          <cell r="S438">
            <v>9903600</v>
          </cell>
          <cell r="T438">
            <v>11046935.485299297</v>
          </cell>
        </row>
        <row r="439">
          <cell r="P439">
            <v>0</v>
          </cell>
          <cell r="Q439"/>
          <cell r="R439">
            <v>1454282.82</v>
          </cell>
          <cell r="S439">
            <v>6398386.5260119997</v>
          </cell>
          <cell r="T439">
            <v>0</v>
          </cell>
        </row>
        <row r="440">
          <cell r="P440">
            <v>854862.32758393337</v>
          </cell>
          <cell r="Q440"/>
          <cell r="R440">
            <v>179774.24599999998</v>
          </cell>
          <cell r="S440">
            <v>338499.6</v>
          </cell>
          <cell r="T440">
            <v>1419063.070167867</v>
          </cell>
        </row>
        <row r="441">
          <cell r="P441">
            <v>2042518.3920666666</v>
          </cell>
          <cell r="Q441"/>
          <cell r="R441">
            <v>216869.5638</v>
          </cell>
          <cell r="S441">
            <v>448910.27999999997</v>
          </cell>
          <cell r="T441">
            <v>3928380.2241333337</v>
          </cell>
        </row>
        <row r="442">
          <cell r="P442">
            <v>572522.35835117346</v>
          </cell>
          <cell r="Q442"/>
          <cell r="R442">
            <v>153563.35</v>
          </cell>
          <cell r="S442">
            <v>305868</v>
          </cell>
          <cell r="T442">
            <v>926588.10750234686</v>
          </cell>
        </row>
        <row r="443">
          <cell r="P443">
            <v>4932346.6957104206</v>
          </cell>
          <cell r="Q443"/>
          <cell r="R443">
            <v>426341.73599999998</v>
          </cell>
          <cell r="S443">
            <v>939159.59999999986</v>
          </cell>
          <cell r="T443">
            <v>8333125.1423208397</v>
          </cell>
        </row>
        <row r="444">
          <cell r="P444">
            <v>2036554.7715932464</v>
          </cell>
          <cell r="Q444"/>
          <cell r="R444">
            <v>182941.56399999998</v>
          </cell>
          <cell r="S444">
            <v>411260.39999999991</v>
          </cell>
          <cell r="T444">
            <v>3407951.6472864933</v>
          </cell>
        </row>
        <row r="445">
          <cell r="P445">
            <v>2190719.200666667</v>
          </cell>
          <cell r="Q445"/>
          <cell r="R445">
            <v>229660.23199999999</v>
          </cell>
          <cell r="S445">
            <v>520657.19999999995</v>
          </cell>
          <cell r="T445">
            <v>4239251.4037333336</v>
          </cell>
        </row>
        <row r="446">
          <cell r="P446">
            <v>4726214.1316666668</v>
          </cell>
          <cell r="Q446">
            <v>809042.81499999994</v>
          </cell>
          <cell r="R446">
            <v>199998.12</v>
          </cell>
          <cell r="S446">
            <v>583451.99999999988</v>
          </cell>
          <cell r="T446">
            <v>10539705.663333334</v>
          </cell>
        </row>
        <row r="447">
          <cell r="P447">
            <v>1550168.3224000398</v>
          </cell>
          <cell r="Q447">
            <v>210000</v>
          </cell>
          <cell r="R447">
            <v>340980.2868</v>
          </cell>
          <cell r="S447">
            <v>804748.07999999984</v>
          </cell>
          <cell r="T447">
            <v>2565193.695800079</v>
          </cell>
        </row>
        <row r="448">
          <cell r="P448">
            <v>331357.31247093313</v>
          </cell>
          <cell r="Q448"/>
          <cell r="R448">
            <v>2262800.4500000002</v>
          </cell>
          <cell r="S448">
            <v>3946638.5555262594</v>
          </cell>
          <cell r="T448">
            <v>0</v>
          </cell>
        </row>
        <row r="449">
          <cell r="P449">
            <v>1386547.1137890664</v>
          </cell>
          <cell r="Q449"/>
          <cell r="R449">
            <v>1050228.8737864401</v>
          </cell>
          <cell r="S449">
            <v>0</v>
          </cell>
          <cell r="T449">
            <v>0</v>
          </cell>
        </row>
        <row r="450">
          <cell r="P450">
            <v>3019218.0038803602</v>
          </cell>
          <cell r="Q450"/>
          <cell r="R450">
            <v>293473.29564598005</v>
          </cell>
          <cell r="S450">
            <v>0</v>
          </cell>
          <cell r="T450">
            <v>0</v>
          </cell>
        </row>
        <row r="451">
          <cell r="P451">
            <v>3797418.9970000004</v>
          </cell>
          <cell r="Q451"/>
          <cell r="R451">
            <v>321001.14</v>
          </cell>
          <cell r="S451">
            <v>0</v>
          </cell>
          <cell r="T451">
            <v>0</v>
          </cell>
        </row>
        <row r="452">
          <cell r="P452">
            <v>1276378.0712522666</v>
          </cell>
          <cell r="Q452"/>
          <cell r="R452">
            <v>1873270.93</v>
          </cell>
          <cell r="S452">
            <v>0</v>
          </cell>
          <cell r="T452">
            <v>0</v>
          </cell>
        </row>
        <row r="453">
          <cell r="P453">
            <v>1104159.1966666665</v>
          </cell>
          <cell r="Q453"/>
          <cell r="R453">
            <v>1393368.6</v>
          </cell>
          <cell r="S453">
            <v>858580.2353626797</v>
          </cell>
          <cell r="T453">
            <v>0</v>
          </cell>
        </row>
        <row r="454">
          <cell r="P454"/>
          <cell r="Q454"/>
          <cell r="R454">
            <v>1363004.8699999999</v>
          </cell>
          <cell r="S454">
            <v>1079218.7512871202</v>
          </cell>
          <cell r="T454">
            <v>0</v>
          </cell>
        </row>
        <row r="455">
          <cell r="P455">
            <v>2605661.0315339789</v>
          </cell>
          <cell r="Q455"/>
          <cell r="R455">
            <v>621865.63000000012</v>
          </cell>
          <cell r="S455">
            <v>2982539.2859612601</v>
          </cell>
          <cell r="T455">
            <v>0</v>
          </cell>
        </row>
        <row r="456">
          <cell r="P456">
            <v>0</v>
          </cell>
          <cell r="Q456"/>
          <cell r="R456">
            <v>0</v>
          </cell>
          <cell r="S456">
            <v>340500.39751072001</v>
          </cell>
          <cell r="T456">
            <v>0</v>
          </cell>
        </row>
        <row r="457">
          <cell r="P457">
            <v>2067746.9300000002</v>
          </cell>
          <cell r="Q457"/>
          <cell r="R457">
            <v>652968.09999999986</v>
          </cell>
          <cell r="S457">
            <v>10554072.310000001</v>
          </cell>
          <cell r="T457">
            <v>0</v>
          </cell>
        </row>
        <row r="459">
          <cell r="Q459">
            <v>0</v>
          </cell>
          <cell r="R459">
            <v>5412177.9005999994</v>
          </cell>
          <cell r="S459">
            <v>5361902.0994000006</v>
          </cell>
          <cell r="T459">
            <v>0</v>
          </cell>
        </row>
        <row r="461">
          <cell r="R461">
            <v>1171287.6801999998</v>
          </cell>
          <cell r="S461">
            <v>3441064.7740459521</v>
          </cell>
          <cell r="T461">
            <v>0</v>
          </cell>
        </row>
        <row r="462">
          <cell r="R462">
            <v>589325.33340000012</v>
          </cell>
          <cell r="S462">
            <v>4399990.7763349582</v>
          </cell>
          <cell r="T462">
            <v>0</v>
          </cell>
        </row>
        <row r="463">
          <cell r="R463">
            <v>4370409.08</v>
          </cell>
          <cell r="S463">
            <v>6604840.123776</v>
          </cell>
          <cell r="T463">
            <v>0</v>
          </cell>
        </row>
        <row r="464">
          <cell r="R464">
            <v>3475803.7290000003</v>
          </cell>
          <cell r="S464">
            <v>28472875.204052545</v>
          </cell>
          <cell r="T464">
            <v>0</v>
          </cell>
        </row>
        <row r="465">
          <cell r="P465">
            <v>3678482.7385679903</v>
          </cell>
          <cell r="Q465">
            <v>0</v>
          </cell>
          <cell r="R465">
            <v>1358690.65</v>
          </cell>
          <cell r="S465">
            <v>8795160</v>
          </cell>
          <cell r="T465">
            <v>14710804.04189761</v>
          </cell>
        </row>
        <row r="466">
          <cell r="P466">
            <v>3283800.1961900308</v>
          </cell>
          <cell r="Q466">
            <v>0</v>
          </cell>
          <cell r="R466">
            <v>1402191.16</v>
          </cell>
          <cell r="S466">
            <v>9167760</v>
          </cell>
          <cell r="T466">
            <v>10046894.151999481</v>
          </cell>
        </row>
        <row r="467">
          <cell r="P467">
            <v>2740842.16343422</v>
          </cell>
          <cell r="R467">
            <v>1218909.47</v>
          </cell>
          <cell r="S467">
            <v>15541920</v>
          </cell>
          <cell r="T467">
            <v>5373142.9411609992</v>
          </cell>
        </row>
        <row r="468">
          <cell r="P468">
            <v>3299198.8272420606</v>
          </cell>
          <cell r="R468">
            <v>706496.33</v>
          </cell>
          <cell r="S468">
            <v>13269140.084563842</v>
          </cell>
          <cell r="T468">
            <v>2823458.8841608651</v>
          </cell>
        </row>
        <row r="469">
          <cell r="P469">
            <v>1728310.2671391205</v>
          </cell>
          <cell r="R469">
            <v>1773436.21</v>
          </cell>
          <cell r="S469">
            <v>11076120</v>
          </cell>
          <cell r="T469">
            <v>3198089.7338004783</v>
          </cell>
        </row>
        <row r="470">
          <cell r="P470">
            <v>3325117.073269573</v>
          </cell>
          <cell r="R470">
            <v>893007.83000000007</v>
          </cell>
          <cell r="T470">
            <v>22606260.395474695</v>
          </cell>
        </row>
        <row r="471">
          <cell r="R471">
            <v>0</v>
          </cell>
          <cell r="S471">
            <v>7084313.3406541934</v>
          </cell>
          <cell r="T471">
            <v>0</v>
          </cell>
        </row>
        <row r="472">
          <cell r="R472">
            <v>276072.63532301196</v>
          </cell>
          <cell r="S472">
            <v>516245.47758200817</v>
          </cell>
          <cell r="T472">
            <v>5.8207660913467407E-11</v>
          </cell>
        </row>
        <row r="473">
          <cell r="P473">
            <v>3488737.6475839727</v>
          </cell>
          <cell r="R473">
            <v>0</v>
          </cell>
          <cell r="S473">
            <v>12767916.109760767</v>
          </cell>
          <cell r="T473">
            <v>7468580.5560530256</v>
          </cell>
        </row>
        <row r="474">
          <cell r="R474">
            <v>2596161.39</v>
          </cell>
          <cell r="S474">
            <v>12175359.900958851</v>
          </cell>
          <cell r="T474">
            <v>9.3132257461547852E-10</v>
          </cell>
        </row>
        <row r="475">
          <cell r="R475">
            <v>7265477.3361999998</v>
          </cell>
          <cell r="S475">
            <v>9083678.5264972188</v>
          </cell>
          <cell r="T475">
            <v>0</v>
          </cell>
        </row>
        <row r="476">
          <cell r="R476">
            <v>5227881.9578</v>
          </cell>
          <cell r="S476">
            <v>5546198.0422</v>
          </cell>
          <cell r="T476">
            <v>0</v>
          </cell>
        </row>
        <row r="477">
          <cell r="R477">
            <v>2921980.0100000002</v>
          </cell>
          <cell r="S477">
            <v>10728350.625379208</v>
          </cell>
          <cell r="T477">
            <v>0</v>
          </cell>
        </row>
        <row r="478">
          <cell r="P478">
            <v>453049.84037679993</v>
          </cell>
          <cell r="R478">
            <v>1421354.58</v>
          </cell>
          <cell r="S478">
            <v>15719613.43</v>
          </cell>
          <cell r="T478">
            <v>0</v>
          </cell>
        </row>
        <row r="479">
          <cell r="P479">
            <v>3571794.2067385912</v>
          </cell>
          <cell r="R479">
            <v>46238.970000000088</v>
          </cell>
          <cell r="S479">
            <v>10006846.59</v>
          </cell>
          <cell r="T479">
            <v>2451084.0779104792</v>
          </cell>
        </row>
        <row r="480">
          <cell r="S480">
            <v>4281809.6559070544</v>
          </cell>
        </row>
        <row r="481">
          <cell r="R481">
            <v>2473160.92</v>
          </cell>
          <cell r="S481">
            <v>13390746.94463787</v>
          </cell>
          <cell r="T481">
            <v>4.6566128730773926E-10</v>
          </cell>
        </row>
        <row r="482">
          <cell r="R482">
            <v>5277721.8474000003</v>
          </cell>
          <cell r="S482">
            <v>5496358.1525999997</v>
          </cell>
          <cell r="T482">
            <v>0</v>
          </cell>
        </row>
        <row r="483">
          <cell r="P483">
            <v>749476.04747032025</v>
          </cell>
          <cell r="R483">
            <v>557135.78</v>
          </cell>
          <cell r="S483">
            <v>1483225.731328845</v>
          </cell>
          <cell r="T483">
            <v>0</v>
          </cell>
        </row>
        <row r="484">
          <cell r="R484">
            <v>1901281.1421999999</v>
          </cell>
          <cell r="S484">
            <v>4360492.2103414061</v>
          </cell>
          <cell r="T484">
            <v>2.3283064365386963E-10</v>
          </cell>
        </row>
        <row r="485">
          <cell r="R485">
            <v>6977187.2571999999</v>
          </cell>
          <cell r="S485">
            <v>17662747.072313033</v>
          </cell>
          <cell r="T485">
            <v>0</v>
          </cell>
        </row>
        <row r="486">
          <cell r="P486">
            <v>0</v>
          </cell>
          <cell r="R486">
            <v>1789671.8205999997</v>
          </cell>
          <cell r="S486">
            <v>11825833.996154271</v>
          </cell>
          <cell r="T486">
            <v>0</v>
          </cell>
        </row>
        <row r="487">
          <cell r="P487">
            <v>3288504.7317224042</v>
          </cell>
          <cell r="R487">
            <v>2857758.32</v>
          </cell>
          <cell r="S487">
            <v>17785800</v>
          </cell>
          <cell r="T487">
            <v>6403404.9709526636</v>
          </cell>
        </row>
        <row r="488">
          <cell r="P488">
            <v>7716317.4366000015</v>
          </cell>
          <cell r="R488">
            <v>10240482.563399998</v>
          </cell>
        </row>
        <row r="489">
          <cell r="P489">
            <v>6843315.0602000002</v>
          </cell>
          <cell r="R489">
            <v>7749271.8798000002</v>
          </cell>
          <cell r="T489">
            <v>3364213.0599999996</v>
          </cell>
        </row>
        <row r="490">
          <cell r="R490">
            <v>1009698.5878754712</v>
          </cell>
          <cell r="S490">
            <v>265750.69702665368</v>
          </cell>
          <cell r="T490">
            <v>0</v>
          </cell>
        </row>
        <row r="491">
          <cell r="P491">
            <v>2733720.5987020801</v>
          </cell>
          <cell r="R491">
            <v>2624004.63</v>
          </cell>
          <cell r="S491">
            <v>16547040</v>
          </cell>
          <cell r="T491">
            <v>582694.80000000075</v>
          </cell>
        </row>
        <row r="492">
          <cell r="R492">
            <v>2103623.1689999998</v>
          </cell>
          <cell r="S492">
            <v>1316240.2452083402</v>
          </cell>
          <cell r="T492">
            <v>0</v>
          </cell>
        </row>
        <row r="493">
          <cell r="R493">
            <v>2214546.784</v>
          </cell>
          <cell r="S493">
            <v>9288655.1755069178</v>
          </cell>
          <cell r="T493">
            <v>0</v>
          </cell>
        </row>
        <row r="494">
          <cell r="R494">
            <v>2791378.78</v>
          </cell>
          <cell r="S494">
            <v>15721684.25403087</v>
          </cell>
          <cell r="T494">
            <v>0</v>
          </cell>
        </row>
        <row r="495">
          <cell r="R495">
            <v>2136734.9907999998</v>
          </cell>
          <cell r="T495">
            <v>1454625.0092000002</v>
          </cell>
        </row>
        <row r="496">
          <cell r="P496">
            <v>1140762.2226702368</v>
          </cell>
          <cell r="R496">
            <v>1819924.9996</v>
          </cell>
          <cell r="S496">
            <v>11198557.212003253</v>
          </cell>
        </row>
        <row r="497">
          <cell r="P497">
            <v>3090162.8634445257</v>
          </cell>
          <cell r="R497">
            <v>437725.94620000006</v>
          </cell>
          <cell r="S497">
            <v>12322887.476784125</v>
          </cell>
          <cell r="T497">
            <v>12300599.17478494</v>
          </cell>
        </row>
        <row r="498">
          <cell r="R498">
            <v>739592.79219999991</v>
          </cell>
          <cell r="S498">
            <v>6329542.682707618</v>
          </cell>
          <cell r="T498">
            <v>0</v>
          </cell>
        </row>
        <row r="499">
          <cell r="P499">
            <v>1268562.6795129601</v>
          </cell>
          <cell r="R499">
            <v>673546.79999999993</v>
          </cell>
          <cell r="S499">
            <v>3174310.8775531789</v>
          </cell>
          <cell r="T499">
            <v>0</v>
          </cell>
        </row>
        <row r="500">
          <cell r="P500">
            <v>1908022.4918</v>
          </cell>
          <cell r="R500">
            <v>1683337.5082</v>
          </cell>
          <cell r="S500">
            <v>0</v>
          </cell>
          <cell r="T500">
            <v>0</v>
          </cell>
        </row>
        <row r="501">
          <cell r="R501">
            <v>2103716.6800000002</v>
          </cell>
          <cell r="S501">
            <v>1620235.1889671171</v>
          </cell>
          <cell r="T501">
            <v>0</v>
          </cell>
        </row>
        <row r="502">
          <cell r="R502">
            <v>2110631.09</v>
          </cell>
          <cell r="S502">
            <v>3593908.37634</v>
          </cell>
          <cell r="T502">
            <v>0</v>
          </cell>
        </row>
        <row r="503">
          <cell r="R503">
            <v>2116179.3499999996</v>
          </cell>
          <cell r="S503">
            <v>5442432.9704800006</v>
          </cell>
          <cell r="T503">
            <v>4.6566128730773926E-10</v>
          </cell>
        </row>
        <row r="504">
          <cell r="P504">
            <v>1188980.4111846876</v>
          </cell>
          <cell r="R504">
            <v>995642.04</v>
          </cell>
          <cell r="S504">
            <v>6685920</v>
          </cell>
          <cell r="T504">
            <v>2103173.9414732046</v>
          </cell>
        </row>
        <row r="505">
          <cell r="R505">
            <v>1808425.52</v>
          </cell>
          <cell r="S505">
            <v>9467681.5061340202</v>
          </cell>
          <cell r="T505">
            <v>2.3283064365386963E-10</v>
          </cell>
        </row>
        <row r="506">
          <cell r="R506">
            <v>2863173.66</v>
          </cell>
          <cell r="S506">
            <v>6720055.6046912</v>
          </cell>
          <cell r="T506">
            <v>0</v>
          </cell>
        </row>
        <row r="507">
          <cell r="P507">
            <v>687023.047624161</v>
          </cell>
          <cell r="R507">
            <v>1425904.3699999999</v>
          </cell>
          <cell r="S507">
            <v>9996505.4600000009</v>
          </cell>
          <cell r="T507">
            <v>704433.06082281657</v>
          </cell>
        </row>
        <row r="508">
          <cell r="P508">
            <v>5162464.244825148</v>
          </cell>
          <cell r="R508">
            <v>0</v>
          </cell>
          <cell r="S508">
            <v>6559427.6825673096</v>
          </cell>
          <cell r="T508">
            <v>18599262.85736911</v>
          </cell>
        </row>
        <row r="509">
          <cell r="R509">
            <v>4082540.3367999997</v>
          </cell>
          <cell r="S509">
            <v>9661536.5234342795</v>
          </cell>
          <cell r="T509">
            <v>0</v>
          </cell>
        </row>
        <row r="510">
          <cell r="R510">
            <v>1799839.3219999999</v>
          </cell>
          <cell r="S510">
            <v>16819275.878956474</v>
          </cell>
        </row>
        <row r="511">
          <cell r="P511">
            <v>534822.96800000034</v>
          </cell>
          <cell r="R511">
            <v>603918.38</v>
          </cell>
          <cell r="S511">
            <v>3461760</v>
          </cell>
          <cell r="T511">
            <v>15433383.212000001</v>
          </cell>
        </row>
        <row r="512">
          <cell r="P512">
            <v>3288801.0671485327</v>
          </cell>
          <cell r="R512">
            <v>2704214.54</v>
          </cell>
          <cell r="S512">
            <v>17384760</v>
          </cell>
          <cell r="T512">
            <v>9608619.1565835811</v>
          </cell>
        </row>
        <row r="513">
          <cell r="R513">
            <v>5418954.5269999998</v>
          </cell>
          <cell r="S513">
            <v>2143891.4852871755</v>
          </cell>
          <cell r="T513">
            <v>0</v>
          </cell>
        </row>
        <row r="514">
          <cell r="P514">
            <v>1063992.5620395201</v>
          </cell>
          <cell r="R514">
            <v>647279.99</v>
          </cell>
          <cell r="S514">
            <v>4088520</v>
          </cell>
          <cell r="T514">
            <v>997816.33227279969</v>
          </cell>
        </row>
        <row r="515">
          <cell r="R515">
            <v>2453478.9500000002</v>
          </cell>
          <cell r="S515">
            <v>869629.53432209883</v>
          </cell>
          <cell r="T515">
            <v>0</v>
          </cell>
        </row>
        <row r="516">
          <cell r="P516">
            <v>0</v>
          </cell>
          <cell r="R516">
            <v>3647493.98</v>
          </cell>
          <cell r="S516">
            <v>22130030.950161468</v>
          </cell>
          <cell r="T516">
            <v>0</v>
          </cell>
        </row>
        <row r="517">
          <cell r="P517">
            <v>2937535.5499065467</v>
          </cell>
          <cell r="R517">
            <v>0</v>
          </cell>
          <cell r="S517">
            <v>6597178.9126290623</v>
          </cell>
          <cell r="T517">
            <v>4425214.320706496</v>
          </cell>
        </row>
        <row r="518">
          <cell r="R518">
            <v>3004626.7699999996</v>
          </cell>
          <cell r="S518">
            <v>4532024.3210547995</v>
          </cell>
          <cell r="T518">
            <v>0</v>
          </cell>
        </row>
        <row r="519">
          <cell r="P519">
            <v>5155802.1643344508</v>
          </cell>
          <cell r="R519">
            <v>3546652.9</v>
          </cell>
          <cell r="S519">
            <v>22244040</v>
          </cell>
          <cell r="T519">
            <v>15270010.988928385</v>
          </cell>
        </row>
        <row r="520">
          <cell r="R520">
            <v>2653756.7599999998</v>
          </cell>
          <cell r="S520">
            <v>973949.37059645494</v>
          </cell>
          <cell r="T520">
            <v>0</v>
          </cell>
        </row>
        <row r="521">
          <cell r="P521">
            <v>2102054.094579109</v>
          </cell>
          <cell r="R521">
            <v>4320165.2457999997</v>
          </cell>
          <cell r="S521">
            <v>28443790.440000005</v>
          </cell>
          <cell r="T521">
            <v>4817819.4587373249</v>
          </cell>
        </row>
        <row r="522">
          <cell r="R522">
            <v>3724080.84</v>
          </cell>
          <cell r="S522">
            <v>24963967.491907835</v>
          </cell>
          <cell r="T522">
            <v>0</v>
          </cell>
        </row>
        <row r="523">
          <cell r="P523">
            <v>1002935.5173789167</v>
          </cell>
          <cell r="R523">
            <v>2144471.5296</v>
          </cell>
          <cell r="S523">
            <v>13186763.279999999</v>
          </cell>
          <cell r="T523">
            <v>3419384.3553367518</v>
          </cell>
        </row>
        <row r="524">
          <cell r="R524">
            <v>2445791.54</v>
          </cell>
          <cell r="S524">
            <v>12598505.284234125</v>
          </cell>
          <cell r="T524">
            <v>4.6566128730773926E-10</v>
          </cell>
        </row>
        <row r="525">
          <cell r="P525">
            <v>1714925.7675000001</v>
          </cell>
          <cell r="R525">
            <v>552771.29</v>
          </cell>
          <cell r="S525">
            <v>3949200</v>
          </cell>
          <cell r="T525">
            <v>3692693.6309000002</v>
          </cell>
        </row>
        <row r="526">
          <cell r="R526">
            <v>2112725.9468</v>
          </cell>
          <cell r="S526">
            <v>7712878.9537436506</v>
          </cell>
          <cell r="T526">
            <v>0</v>
          </cell>
        </row>
        <row r="527">
          <cell r="P527">
            <v>3254083.8187434226</v>
          </cell>
          <cell r="R527">
            <v>389159.90639999998</v>
          </cell>
          <cell r="S527">
            <v>10694937.309999999</v>
          </cell>
        </row>
        <row r="528">
          <cell r="P528">
            <v>3538238.8867999995</v>
          </cell>
          <cell r="Q528">
            <v>0</v>
          </cell>
          <cell r="R528">
            <v>6241761.1132000005</v>
          </cell>
        </row>
        <row r="529">
          <cell r="R529">
            <v>1949895.9373999999</v>
          </cell>
          <cell r="S529">
            <v>8487096.6621205639</v>
          </cell>
          <cell r="T529">
            <v>4.6566128730773926E-10</v>
          </cell>
        </row>
        <row r="530">
          <cell r="P530">
            <v>2200544.6488000001</v>
          </cell>
          <cell r="R530">
            <v>1390815.3511999999</v>
          </cell>
        </row>
        <row r="531">
          <cell r="P531">
            <v>4650735.0838000001</v>
          </cell>
          <cell r="Q531">
            <v>0</v>
          </cell>
          <cell r="R531">
            <v>2531984.9161999999</v>
          </cell>
        </row>
        <row r="532">
          <cell r="R532">
            <v>1572282.99</v>
          </cell>
          <cell r="S532">
            <v>1411401.0800000003</v>
          </cell>
          <cell r="T532">
            <v>0</v>
          </cell>
        </row>
        <row r="533">
          <cell r="R533">
            <v>650714.24</v>
          </cell>
          <cell r="S533">
            <v>2739832.6399999997</v>
          </cell>
          <cell r="T533">
            <v>0</v>
          </cell>
        </row>
        <row r="534">
          <cell r="R534">
            <v>393369.2</v>
          </cell>
          <cell r="S534">
            <v>196198.39499999996</v>
          </cell>
          <cell r="T534">
            <v>0</v>
          </cell>
        </row>
        <row r="535">
          <cell r="R535">
            <v>214406.8</v>
          </cell>
          <cell r="S535">
            <v>295733.65280000004</v>
          </cell>
          <cell r="T535">
            <v>0</v>
          </cell>
        </row>
        <row r="536">
          <cell r="R536">
            <v>306771.38</v>
          </cell>
          <cell r="S536">
            <v>79875.565300000017</v>
          </cell>
          <cell r="T536">
            <v>0</v>
          </cell>
        </row>
        <row r="537">
          <cell r="P537">
            <v>0</v>
          </cell>
          <cell r="R537">
            <v>172568.74000000002</v>
          </cell>
          <cell r="S537">
            <v>1866187.7726</v>
          </cell>
          <cell r="T537">
            <v>0</v>
          </cell>
        </row>
        <row r="538">
          <cell r="Q538">
            <v>0</v>
          </cell>
          <cell r="R538">
            <v>11169257.9377</v>
          </cell>
          <cell r="S538">
            <v>10367630.278018933</v>
          </cell>
          <cell r="T538">
            <v>0</v>
          </cell>
        </row>
        <row r="539">
          <cell r="Q539">
            <v>0</v>
          </cell>
          <cell r="R539">
            <v>13086959.943799999</v>
          </cell>
          <cell r="S539">
            <v>12052560.056200001</v>
          </cell>
          <cell r="T539">
            <v>0</v>
          </cell>
        </row>
        <row r="540">
          <cell r="Q540">
            <v>0</v>
          </cell>
          <cell r="R540">
            <v>6693999.8041399997</v>
          </cell>
          <cell r="S540">
            <v>7697493.4512813147</v>
          </cell>
          <cell r="T540">
            <v>0</v>
          </cell>
        </row>
        <row r="541">
          <cell r="P541">
            <v>127594.26226869</v>
          </cell>
          <cell r="R541">
            <v>4101886.91</v>
          </cell>
          <cell r="S541">
            <v>27054000</v>
          </cell>
          <cell r="T541">
            <v>8320001.4558427483</v>
          </cell>
        </row>
        <row r="542">
          <cell r="P542">
            <v>3200622.2373585771</v>
          </cell>
          <cell r="R542">
            <v>1253870.0724331199</v>
          </cell>
          <cell r="S542">
            <v>14180040</v>
          </cell>
          <cell r="T542">
            <v>4601161.9519343041</v>
          </cell>
        </row>
        <row r="543">
          <cell r="P543">
            <v>566089.32750000013</v>
          </cell>
          <cell r="R543">
            <v>273418.77</v>
          </cell>
          <cell r="S543">
            <v>2422440</v>
          </cell>
          <cell r="T543">
            <v>922339.09169999976</v>
          </cell>
        </row>
        <row r="544">
          <cell r="P544">
            <v>2032936.2280000001</v>
          </cell>
          <cell r="R544">
            <v>1722849.2049833797</v>
          </cell>
          <cell r="S544">
            <v>29890060.559999999</v>
          </cell>
          <cell r="T544">
            <v>7548754.287016619</v>
          </cell>
        </row>
        <row r="545">
          <cell r="P545">
            <v>3038566.1072513652</v>
          </cell>
          <cell r="R545">
            <v>648286.88</v>
          </cell>
          <cell r="S545">
            <v>4623480</v>
          </cell>
          <cell r="T545">
            <v>9134578.5217540953</v>
          </cell>
        </row>
        <row r="546">
          <cell r="R546">
            <v>928129.97294748016</v>
          </cell>
          <cell r="S546">
            <v>4071369.0388525194</v>
          </cell>
          <cell r="T546">
            <v>4.6566128730773926E-10</v>
          </cell>
        </row>
        <row r="547">
          <cell r="R547">
            <v>2221077.79</v>
          </cell>
          <cell r="S547">
            <v>91518.012499999721</v>
          </cell>
          <cell r="T547">
            <v>0</v>
          </cell>
        </row>
        <row r="548">
          <cell r="R548">
            <v>1578343.95</v>
          </cell>
          <cell r="S548">
            <v>0</v>
          </cell>
          <cell r="T548">
            <v>0</v>
          </cell>
        </row>
        <row r="549">
          <cell r="R549">
            <v>960081.54</v>
          </cell>
          <cell r="S549">
            <v>7281781.2859200006</v>
          </cell>
          <cell r="T549">
            <v>0</v>
          </cell>
        </row>
        <row r="550">
          <cell r="P550">
            <v>2512560.0679270476</v>
          </cell>
          <cell r="Q550">
            <v>0</v>
          </cell>
          <cell r="R550">
            <v>682851.66</v>
          </cell>
          <cell r="S550">
            <v>4601880</v>
          </cell>
          <cell r="T550">
            <v>11485318.241979901</v>
          </cell>
        </row>
        <row r="551">
          <cell r="R551">
            <v>764918.96504399984</v>
          </cell>
          <cell r="S551">
            <v>11057692.125712002</v>
          </cell>
          <cell r="T551">
            <v>0</v>
          </cell>
        </row>
        <row r="552">
          <cell r="R552">
            <v>1090383.0156</v>
          </cell>
          <cell r="S552">
            <v>0</v>
          </cell>
          <cell r="T552">
            <v>0</v>
          </cell>
        </row>
        <row r="553">
          <cell r="P553">
            <v>6350229.8080000002</v>
          </cell>
          <cell r="R553">
            <v>2630243.4499999997</v>
          </cell>
          <cell r="S553">
            <v>18028440</v>
          </cell>
          <cell r="T553">
            <v>25607268.711999997</v>
          </cell>
        </row>
        <row r="554">
          <cell r="P554">
            <v>3677895.9417703999</v>
          </cell>
          <cell r="R554">
            <v>1462998.8499999999</v>
          </cell>
          <cell r="S554">
            <v>9807202.6400000006</v>
          </cell>
          <cell r="T554">
            <v>10764374.292081598</v>
          </cell>
        </row>
        <row r="555">
          <cell r="P555">
            <v>0</v>
          </cell>
          <cell r="R555">
            <v>449546.89999999997</v>
          </cell>
          <cell r="S555">
            <v>4822867.6245999988</v>
          </cell>
          <cell r="T555">
            <v>0</v>
          </cell>
        </row>
        <row r="556">
          <cell r="P556">
            <v>8517894.7578108646</v>
          </cell>
          <cell r="Q556">
            <v>0</v>
          </cell>
          <cell r="R556">
            <v>1208620.8999999999</v>
          </cell>
          <cell r="S556">
            <v>12792600</v>
          </cell>
          <cell r="T556">
            <v>31591743.488071643</v>
          </cell>
        </row>
        <row r="557">
          <cell r="P557">
            <v>4581465.5337166088</v>
          </cell>
          <cell r="Q557">
            <v>0</v>
          </cell>
          <cell r="R557">
            <v>2060779.94</v>
          </cell>
          <cell r="S557">
            <v>13014720</v>
          </cell>
          <cell r="T557">
            <v>17602491.334866434</v>
          </cell>
        </row>
        <row r="558">
          <cell r="P558">
            <v>1511702.0514524882</v>
          </cell>
          <cell r="R558">
            <v>1989936.72</v>
          </cell>
          <cell r="S558">
            <v>12354840</v>
          </cell>
          <cell r="T558">
            <v>4548433.3543574661</v>
          </cell>
        </row>
        <row r="559">
          <cell r="P559">
            <v>3119886.4825000009</v>
          </cell>
          <cell r="Q559">
            <v>0</v>
          </cell>
          <cell r="R559">
            <v>1715789.03</v>
          </cell>
          <cell r="S559">
            <v>10263240</v>
          </cell>
          <cell r="T559">
            <v>9376688.6475000009</v>
          </cell>
        </row>
        <row r="560">
          <cell r="P560">
            <v>1145305.2433538393</v>
          </cell>
          <cell r="R560">
            <v>347473.2</v>
          </cell>
          <cell r="T560">
            <v>4314398.2410461605</v>
          </cell>
        </row>
        <row r="561">
          <cell r="P561">
            <v>1067670.11489175</v>
          </cell>
          <cell r="R561">
            <v>2077227.6700000002</v>
          </cell>
          <cell r="S561">
            <v>12479040</v>
          </cell>
          <cell r="T561">
            <v>3203380.5446752515</v>
          </cell>
        </row>
        <row r="562">
          <cell r="P562">
            <v>2077670.4749999989</v>
          </cell>
          <cell r="R562">
            <v>2069895.47</v>
          </cell>
          <cell r="S562">
            <v>12341160</v>
          </cell>
          <cell r="T562">
            <v>3745811.0002999995</v>
          </cell>
        </row>
        <row r="563">
          <cell r="P563">
            <v>1222282.7049824998</v>
          </cell>
          <cell r="R563">
            <v>442180.2</v>
          </cell>
          <cell r="S563">
            <v>0</v>
          </cell>
          <cell r="T563">
            <v>2878083.7305474998</v>
          </cell>
        </row>
        <row r="564">
          <cell r="P564">
            <v>4305404.6954799788</v>
          </cell>
          <cell r="R564">
            <v>1466157.9235001002</v>
          </cell>
          <cell r="S564">
            <v>6946044.4906000076</v>
          </cell>
          <cell r="T564">
            <v>12625976.482219916</v>
          </cell>
        </row>
        <row r="565">
          <cell r="P565">
            <v>8300255.7228212012</v>
          </cell>
          <cell r="R565">
            <v>1480640.4100000001</v>
          </cell>
          <cell r="S565">
            <v>5574535.4132261984</v>
          </cell>
          <cell r="T565">
            <v>21404430.323158603</v>
          </cell>
        </row>
        <row r="566">
          <cell r="P566">
            <v>1952415.092709831</v>
          </cell>
          <cell r="R566">
            <v>4622259.3600000003</v>
          </cell>
          <cell r="S566">
            <v>9064913.4816539548</v>
          </cell>
          <cell r="T566">
            <v>0</v>
          </cell>
        </row>
        <row r="567">
          <cell r="R567">
            <v>5319513.9239999996</v>
          </cell>
          <cell r="S567">
            <v>5454566.0760000004</v>
          </cell>
          <cell r="T567">
            <v>0</v>
          </cell>
        </row>
        <row r="568">
          <cell r="P568">
            <v>1226851.3124999998</v>
          </cell>
          <cell r="R568">
            <v>109631.77999999962</v>
          </cell>
          <cell r="S568">
            <v>0</v>
          </cell>
          <cell r="T568">
            <v>3241139.561100001</v>
          </cell>
        </row>
        <row r="569">
          <cell r="R569">
            <v>2278497.5199999996</v>
          </cell>
          <cell r="S569">
            <v>1284019.9607000006</v>
          </cell>
          <cell r="T569">
            <v>0</v>
          </cell>
        </row>
        <row r="570">
          <cell r="R570">
            <v>2323481.64</v>
          </cell>
          <cell r="S570">
            <v>0</v>
          </cell>
          <cell r="T570">
            <v>0</v>
          </cell>
        </row>
        <row r="571">
          <cell r="R571">
            <v>1630698.28</v>
          </cell>
          <cell r="S571">
            <v>0</v>
          </cell>
          <cell r="T571">
            <v>0</v>
          </cell>
        </row>
        <row r="572">
          <cell r="R572">
            <v>3712329.4699999997</v>
          </cell>
          <cell r="S572">
            <v>9651414.3309412003</v>
          </cell>
          <cell r="T572">
            <v>0</v>
          </cell>
        </row>
        <row r="573">
          <cell r="R573">
            <v>1398280.95</v>
          </cell>
          <cell r="S573">
            <v>1255267.7028289547</v>
          </cell>
          <cell r="T573">
            <v>0</v>
          </cell>
        </row>
        <row r="574">
          <cell r="R574">
            <v>2621907.0299999998</v>
          </cell>
          <cell r="S574">
            <v>7847553.7410000004</v>
          </cell>
          <cell r="T574">
            <v>0</v>
          </cell>
        </row>
        <row r="575">
          <cell r="R575">
            <v>1946518.9788139998</v>
          </cell>
          <cell r="S575">
            <v>3285919.4450719994</v>
          </cell>
          <cell r="T575">
            <v>0</v>
          </cell>
        </row>
        <row r="576">
          <cell r="R576">
            <v>2865626.9831999997</v>
          </cell>
          <cell r="S576">
            <v>30582189.575911004</v>
          </cell>
          <cell r="T576">
            <v>0</v>
          </cell>
        </row>
        <row r="577">
          <cell r="R577">
            <v>2369206.8372</v>
          </cell>
          <cell r="S577">
            <v>15670650.873989839</v>
          </cell>
          <cell r="T577">
            <v>4.6566128730773926E-10</v>
          </cell>
        </row>
        <row r="578">
          <cell r="R578">
            <v>1635770.6579999998</v>
          </cell>
          <cell r="S578">
            <v>1955589.3420000002</v>
          </cell>
          <cell r="T578">
            <v>0</v>
          </cell>
        </row>
        <row r="579">
          <cell r="Q579">
            <v>0</v>
          </cell>
          <cell r="R579">
            <v>1761672.902208</v>
          </cell>
          <cell r="S579">
            <v>0</v>
          </cell>
          <cell r="T579">
            <v>0</v>
          </cell>
        </row>
        <row r="580">
          <cell r="Q580">
            <v>0</v>
          </cell>
          <cell r="R580">
            <v>1715973.7068479999</v>
          </cell>
          <cell r="S580">
            <v>0</v>
          </cell>
          <cell r="T580">
            <v>0</v>
          </cell>
        </row>
        <row r="581">
          <cell r="Q581">
            <v>0</v>
          </cell>
          <cell r="R581">
            <v>1736233.9121119999</v>
          </cell>
          <cell r="S581">
            <v>0</v>
          </cell>
          <cell r="T581">
            <v>0</v>
          </cell>
        </row>
        <row r="582">
          <cell r="R582">
            <v>1435447.13</v>
          </cell>
          <cell r="S582">
            <v>10223852.123600002</v>
          </cell>
          <cell r="T582">
            <v>0</v>
          </cell>
        </row>
        <row r="583">
          <cell r="R583">
            <v>1479357.3299999998</v>
          </cell>
          <cell r="S583">
            <v>1242522.117150645</v>
          </cell>
          <cell r="T583">
            <v>0</v>
          </cell>
        </row>
        <row r="584">
          <cell r="P584">
            <v>4171397.8607790703</v>
          </cell>
          <cell r="R584">
            <v>701977.97</v>
          </cell>
          <cell r="S584">
            <v>4905360</v>
          </cell>
          <cell r="T584">
            <v>16667821.843116283</v>
          </cell>
        </row>
        <row r="585">
          <cell r="P585">
            <v>1272584.8299999998</v>
          </cell>
          <cell r="R585">
            <v>787242.06</v>
          </cell>
          <cell r="S585">
            <v>4776120</v>
          </cell>
          <cell r="T585">
            <v>2853089.0001999997</v>
          </cell>
        </row>
        <row r="586">
          <cell r="P586">
            <v>2747451.5274999994</v>
          </cell>
          <cell r="R586">
            <v>2248197.27</v>
          </cell>
          <cell r="S586">
            <v>15641280</v>
          </cell>
          <cell r="T586">
            <v>5173043.2386999987</v>
          </cell>
        </row>
        <row r="587">
          <cell r="P587">
            <v>7237936.3654399998</v>
          </cell>
          <cell r="Q587">
            <v>0</v>
          </cell>
          <cell r="R587">
            <v>3536143.6345600002</v>
          </cell>
        </row>
        <row r="588">
          <cell r="Q588">
            <v>0</v>
          </cell>
          <cell r="R588">
            <v>7110316.7841999996</v>
          </cell>
          <cell r="S588">
            <v>7302662.8536640927</v>
          </cell>
          <cell r="T588">
            <v>0</v>
          </cell>
        </row>
        <row r="589">
          <cell r="P589">
            <v>9934187.5640000012</v>
          </cell>
          <cell r="R589">
            <v>439915.8</v>
          </cell>
          <cell r="S589">
            <v>11789637.74</v>
          </cell>
          <cell r="T589">
            <v>27947581.716000006</v>
          </cell>
        </row>
        <row r="590">
          <cell r="R590">
            <v>695448.19</v>
          </cell>
          <cell r="S590">
            <v>3690845.4130662554</v>
          </cell>
          <cell r="T590">
            <v>1.1641532182693481E-10</v>
          </cell>
        </row>
        <row r="591">
          <cell r="R591">
            <v>1308728.82</v>
          </cell>
          <cell r="S591">
            <v>3016791.7952716993</v>
          </cell>
          <cell r="T591">
            <v>0</v>
          </cell>
        </row>
        <row r="592">
          <cell r="P592">
            <v>4053855.5148114995</v>
          </cell>
          <cell r="R592">
            <v>0</v>
          </cell>
          <cell r="S592">
            <v>9647352</v>
          </cell>
          <cell r="T592">
            <v>25103935.231378898</v>
          </cell>
        </row>
        <row r="593">
          <cell r="R593">
            <v>1567951.74</v>
          </cell>
          <cell r="S593">
            <v>4843181.5199999996</v>
          </cell>
          <cell r="T593">
            <v>0</v>
          </cell>
        </row>
        <row r="594">
          <cell r="P594">
            <v>3352595.9358166102</v>
          </cell>
          <cell r="R594">
            <v>1864767.02</v>
          </cell>
          <cell r="S594">
            <v>4623840</v>
          </cell>
          <cell r="T594">
            <v>9939323.8074498307</v>
          </cell>
        </row>
        <row r="595">
          <cell r="R595">
            <v>669586.68582399981</v>
          </cell>
          <cell r="S595">
            <v>7337757.9763519987</v>
          </cell>
          <cell r="T595">
            <v>0</v>
          </cell>
        </row>
        <row r="596">
          <cell r="R596">
            <v>2027468.3699999999</v>
          </cell>
          <cell r="S596">
            <v>3854047.2199999997</v>
          </cell>
          <cell r="T596">
            <v>0</v>
          </cell>
        </row>
        <row r="597">
          <cell r="P597">
            <v>8196713.8379999995</v>
          </cell>
          <cell r="R597">
            <v>645170.4</v>
          </cell>
          <cell r="T597">
            <v>28203863.081100002</v>
          </cell>
        </row>
        <row r="598">
          <cell r="R598">
            <v>991969.75</v>
          </cell>
          <cell r="S598">
            <v>581527.31469999999</v>
          </cell>
          <cell r="T598">
            <v>0</v>
          </cell>
        </row>
        <row r="599">
          <cell r="R599">
            <v>1136857.68</v>
          </cell>
          <cell r="S599">
            <v>0</v>
          </cell>
          <cell r="T599">
            <v>0</v>
          </cell>
        </row>
        <row r="600">
          <cell r="R600">
            <v>1428033.91</v>
          </cell>
          <cell r="S600">
            <v>1108911.5840698306</v>
          </cell>
          <cell r="T600">
            <v>0</v>
          </cell>
        </row>
        <row r="601">
          <cell r="P601">
            <v>703831.2975000001</v>
          </cell>
          <cell r="R601">
            <v>312313.8</v>
          </cell>
          <cell r="S601">
            <v>1767725.9436000003</v>
          </cell>
          <cell r="T601">
            <v>0</v>
          </cell>
        </row>
        <row r="602">
          <cell r="Q602">
            <v>0</v>
          </cell>
          <cell r="R602">
            <v>1970236.371824</v>
          </cell>
          <cell r="S602">
            <v>0</v>
          </cell>
          <cell r="T602">
            <v>0</v>
          </cell>
        </row>
        <row r="603">
          <cell r="P603">
            <v>3904301.1978000002</v>
          </cell>
          <cell r="Q603">
            <v>0</v>
          </cell>
          <cell r="R603">
            <v>3278418.8021999998</v>
          </cell>
        </row>
        <row r="604">
          <cell r="R604">
            <v>495408.60210599989</v>
          </cell>
          <cell r="S604">
            <v>8704565.8319880012</v>
          </cell>
          <cell r="T604">
            <v>0</v>
          </cell>
        </row>
        <row r="605">
          <cell r="P605">
            <v>3590029.1775467205</v>
          </cell>
          <cell r="Q605">
            <v>0</v>
          </cell>
          <cell r="R605">
            <v>2823396.44</v>
          </cell>
          <cell r="S605">
            <v>16677720</v>
          </cell>
          <cell r="T605">
            <v>1710923.3326401599</v>
          </cell>
        </row>
        <row r="606">
          <cell r="P606">
            <v>11125815.399917353</v>
          </cell>
          <cell r="Q606">
            <v>0</v>
          </cell>
          <cell r="R606">
            <v>2754412.5300000003</v>
          </cell>
          <cell r="S606">
            <v>16670880</v>
          </cell>
          <cell r="T606">
            <v>44372543.979669407</v>
          </cell>
        </row>
        <row r="607">
          <cell r="Q607">
            <v>0</v>
          </cell>
          <cell r="R607">
            <v>2039953.34</v>
          </cell>
          <cell r="S607">
            <v>0</v>
          </cell>
          <cell r="T607">
            <v>0</v>
          </cell>
        </row>
        <row r="608">
          <cell r="P608">
            <v>4540950.7992002573</v>
          </cell>
          <cell r="Q608">
            <v>0</v>
          </cell>
          <cell r="R608">
            <v>2332635.02</v>
          </cell>
          <cell r="S608">
            <v>14187960</v>
          </cell>
          <cell r="T608">
            <v>12694098.196801025</v>
          </cell>
        </row>
        <row r="609">
          <cell r="P609">
            <v>8914366.6864420418</v>
          </cell>
          <cell r="Q609">
            <v>0</v>
          </cell>
          <cell r="R609">
            <v>1944483.79</v>
          </cell>
          <cell r="S609">
            <v>12436560</v>
          </cell>
          <cell r="T609">
            <v>35662612.525768168</v>
          </cell>
        </row>
        <row r="610">
          <cell r="R610">
            <v>165503.35497199994</v>
          </cell>
          <cell r="S610">
            <v>2138665.7069340004</v>
          </cell>
          <cell r="T610">
            <v>0</v>
          </cell>
        </row>
        <row r="611">
          <cell r="P611">
            <v>6666221.4034400824</v>
          </cell>
          <cell r="Q611">
            <v>0</v>
          </cell>
          <cell r="R611">
            <v>2807456.47</v>
          </cell>
          <cell r="S611">
            <v>17897760</v>
          </cell>
          <cell r="T611">
            <v>20056045.210320249</v>
          </cell>
        </row>
        <row r="612">
          <cell r="P612">
            <v>18114073.308878101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P613">
            <v>4793742.1716</v>
          </cell>
          <cell r="R613">
            <v>1172060.5684</v>
          </cell>
        </row>
        <row r="614">
          <cell r="R614">
            <v>1502454.86</v>
          </cell>
          <cell r="S614">
            <v>8954640</v>
          </cell>
          <cell r="T614">
            <v>6715215.5302300081</v>
          </cell>
        </row>
        <row r="615">
          <cell r="P615">
            <v>3855238.9237903948</v>
          </cell>
          <cell r="R615">
            <v>1622844.307</v>
          </cell>
          <cell r="S615">
            <v>7287254.250604419</v>
          </cell>
          <cell r="T615">
            <v>2689458.0595051832</v>
          </cell>
        </row>
        <row r="616">
          <cell r="P616">
            <v>4253791.2577114999</v>
          </cell>
          <cell r="R616">
            <v>1267186.1455999999</v>
          </cell>
          <cell r="S616">
            <v>6603959.1275602179</v>
          </cell>
          <cell r="T616">
            <v>3372879.0797742838</v>
          </cell>
        </row>
        <row r="617">
          <cell r="P617">
            <v>4373889.0319999987</v>
          </cell>
          <cell r="R617">
            <v>893514.12000000011</v>
          </cell>
          <cell r="S617">
            <v>6756840</v>
          </cell>
          <cell r="T617">
            <v>14383346.494799998</v>
          </cell>
        </row>
        <row r="618">
          <cell r="P618">
            <v>5150859.8834408009</v>
          </cell>
          <cell r="R618">
            <v>1910551.2177600001</v>
          </cell>
          <cell r="S618">
            <v>22696560</v>
          </cell>
          <cell r="T618">
            <v>13336149.481203206</v>
          </cell>
        </row>
        <row r="619">
          <cell r="R619">
            <v>1955455.68</v>
          </cell>
          <cell r="S619">
            <v>12012502.720000001</v>
          </cell>
          <cell r="T619">
            <v>0</v>
          </cell>
        </row>
        <row r="620">
          <cell r="P620">
            <v>9745896.1752586551</v>
          </cell>
          <cell r="R620">
            <v>3455766.3000000003</v>
          </cell>
          <cell r="S620">
            <v>22373280</v>
          </cell>
          <cell r="T620">
            <v>27147907.096634626</v>
          </cell>
        </row>
        <row r="621">
          <cell r="P621">
            <v>4263457.8798470004</v>
          </cell>
          <cell r="R621">
            <v>1279294.3112000001</v>
          </cell>
          <cell r="S621">
            <v>7843284.0034900587</v>
          </cell>
          <cell r="T621">
            <v>2085797.7693509366</v>
          </cell>
        </row>
        <row r="622">
          <cell r="P622">
            <v>590238.2375000004</v>
          </cell>
          <cell r="R622">
            <v>910232.0199999999</v>
          </cell>
          <cell r="S622">
            <v>6384960</v>
          </cell>
          <cell r="T622">
            <v>815075.7340000011</v>
          </cell>
        </row>
        <row r="623">
          <cell r="P623">
            <v>549981.94500000007</v>
          </cell>
          <cell r="R623">
            <v>636134.18999999994</v>
          </cell>
          <cell r="S623">
            <v>1317036.33</v>
          </cell>
          <cell r="T623">
            <v>20942.688299999805</v>
          </cell>
        </row>
        <row r="624">
          <cell r="P624">
            <v>0</v>
          </cell>
          <cell r="R624">
            <v>0</v>
          </cell>
          <cell r="S624">
            <v>420332.95579999994</v>
          </cell>
          <cell r="T624">
            <v>0</v>
          </cell>
        </row>
        <row r="625">
          <cell r="R625">
            <v>380233.89</v>
          </cell>
          <cell r="S625">
            <v>142312.80680000002</v>
          </cell>
          <cell r="T625">
            <v>0</v>
          </cell>
        </row>
        <row r="626">
          <cell r="P626">
            <v>503219.86890000058</v>
          </cell>
          <cell r="R626">
            <v>422090.76</v>
          </cell>
          <cell r="S626">
            <v>2572307.9999999995</v>
          </cell>
          <cell r="T626">
            <v>0</v>
          </cell>
        </row>
        <row r="627">
          <cell r="P627">
            <v>299229.82999999996</v>
          </cell>
          <cell r="R627">
            <v>73388.679999999978</v>
          </cell>
          <cell r="S627">
            <v>350222.60670000006</v>
          </cell>
          <cell r="T627">
            <v>0</v>
          </cell>
        </row>
        <row r="628">
          <cell r="P628">
            <v>508425.41750000021</v>
          </cell>
          <cell r="R628">
            <v>254173.46</v>
          </cell>
          <cell r="S628">
            <v>2130480</v>
          </cell>
          <cell r="T628">
            <v>1080329.9423000012</v>
          </cell>
        </row>
        <row r="629">
          <cell r="R629">
            <v>91300.090000000055</v>
          </cell>
          <cell r="S629">
            <v>455350.16529999999</v>
          </cell>
          <cell r="T629">
            <v>0</v>
          </cell>
        </row>
        <row r="630">
          <cell r="R630">
            <v>87262.269999999975</v>
          </cell>
          <cell r="S630">
            <v>423644.08120000002</v>
          </cell>
          <cell r="T630">
            <v>0</v>
          </cell>
        </row>
        <row r="631">
          <cell r="R631">
            <v>119974.64999999995</v>
          </cell>
          <cell r="S631">
            <v>416955.31900000008</v>
          </cell>
          <cell r="T631">
            <v>0</v>
          </cell>
        </row>
        <row r="632">
          <cell r="R632">
            <v>306089.34999999998</v>
          </cell>
          <cell r="S632">
            <v>1301242.2675056942</v>
          </cell>
          <cell r="T632">
            <v>0</v>
          </cell>
        </row>
        <row r="633">
          <cell r="R633">
            <v>1011727.4448999999</v>
          </cell>
          <cell r="S633">
            <v>0</v>
          </cell>
          <cell r="T633">
            <v>0</v>
          </cell>
        </row>
        <row r="634">
          <cell r="P634">
            <v>353690.84750000015</v>
          </cell>
          <cell r="R634">
            <v>315412.39</v>
          </cell>
          <cell r="S634">
            <v>2503043.9999999995</v>
          </cell>
          <cell r="T634">
            <v>0</v>
          </cell>
        </row>
        <row r="635">
          <cell r="R635">
            <v>68416.530000000013</v>
          </cell>
          <cell r="S635">
            <v>477590.85159999994</v>
          </cell>
          <cell r="T635">
            <v>0</v>
          </cell>
        </row>
        <row r="636">
          <cell r="R636">
            <v>91115.91</v>
          </cell>
          <cell r="S636">
            <v>440362.47079999989</v>
          </cell>
          <cell r="T636">
            <v>0</v>
          </cell>
        </row>
        <row r="637">
          <cell r="R637">
            <v>166996.36000000002</v>
          </cell>
          <cell r="S637">
            <v>359767.60180000006</v>
          </cell>
          <cell r="T637">
            <v>0</v>
          </cell>
        </row>
        <row r="638">
          <cell r="R638">
            <v>315441.84999999998</v>
          </cell>
          <cell r="S638">
            <v>1845481.6399999997</v>
          </cell>
          <cell r="T638">
            <v>1.1641532182693481E-10</v>
          </cell>
        </row>
        <row r="639">
          <cell r="P639">
            <v>1280621.8600000008</v>
          </cell>
          <cell r="R639">
            <v>134568.26</v>
          </cell>
          <cell r="S639">
            <v>1257300</v>
          </cell>
          <cell r="T639">
            <v>63933.539999999804</v>
          </cell>
        </row>
        <row r="640">
          <cell r="R640">
            <v>495672.16</v>
          </cell>
          <cell r="S640">
            <v>2881287.33</v>
          </cell>
          <cell r="T640">
            <v>0</v>
          </cell>
        </row>
        <row r="641">
          <cell r="R641">
            <v>240041.57999999996</v>
          </cell>
          <cell r="S641">
            <v>1144072.5004000003</v>
          </cell>
          <cell r="T641">
            <v>0</v>
          </cell>
        </row>
        <row r="642">
          <cell r="R642">
            <v>678579.41999999993</v>
          </cell>
          <cell r="S642">
            <v>4663104.4154999992</v>
          </cell>
          <cell r="T642">
            <v>0</v>
          </cell>
        </row>
        <row r="643">
          <cell r="P643">
            <v>666884.95870000031</v>
          </cell>
          <cell r="R643">
            <v>644334.12</v>
          </cell>
          <cell r="S643">
            <v>4744080</v>
          </cell>
          <cell r="T643">
            <v>0</v>
          </cell>
        </row>
        <row r="644">
          <cell r="P644">
            <v>1321634.5791319686</v>
          </cell>
          <cell r="R644">
            <v>861801.35000000009</v>
          </cell>
          <cell r="S644">
            <v>5633640</v>
          </cell>
          <cell r="T644">
            <v>1147475.4271326456</v>
          </cell>
        </row>
        <row r="645">
          <cell r="P645">
            <v>1920678.6675</v>
          </cell>
          <cell r="R645">
            <v>591478.23</v>
          </cell>
          <cell r="S645">
            <v>3336994.5446359999</v>
          </cell>
          <cell r="T645">
            <v>1206102.9512639996</v>
          </cell>
        </row>
        <row r="646">
          <cell r="P646">
            <v>1460525.3899999997</v>
          </cell>
          <cell r="R646">
            <v>436891.19000000006</v>
          </cell>
          <cell r="S646">
            <v>3770010.74</v>
          </cell>
          <cell r="T646">
            <v>4583397.6222999981</v>
          </cell>
        </row>
        <row r="647">
          <cell r="P647">
            <v>6467982.027999999</v>
          </cell>
          <cell r="R647">
            <v>439706.48</v>
          </cell>
          <cell r="S647">
            <v>3795480</v>
          </cell>
          <cell r="T647">
            <v>25444836.906999994</v>
          </cell>
        </row>
        <row r="648">
          <cell r="P648">
            <v>6526236.7062411997</v>
          </cell>
          <cell r="R648">
            <v>452296.52999999997</v>
          </cell>
          <cell r="S648">
            <v>3846240</v>
          </cell>
          <cell r="T648">
            <v>25698309.796364799</v>
          </cell>
        </row>
        <row r="649">
          <cell r="P649">
            <v>4845301.1875000009</v>
          </cell>
          <cell r="R649">
            <v>113485.2</v>
          </cell>
          <cell r="S649">
            <v>2852736.69136668</v>
          </cell>
          <cell r="T649">
            <v>11517497.121133324</v>
          </cell>
        </row>
        <row r="650">
          <cell r="P650">
            <v>6554730.6119999988</v>
          </cell>
          <cell r="R650">
            <v>497825.82</v>
          </cell>
          <cell r="S650">
            <v>3866400</v>
          </cell>
          <cell r="T650">
            <v>22320137.795299996</v>
          </cell>
        </row>
        <row r="651">
          <cell r="P651">
            <v>1342375.9173957503</v>
          </cell>
          <cell r="R651">
            <v>128632.2</v>
          </cell>
          <cell r="S651">
            <v>3442990.0791816399</v>
          </cell>
          <cell r="T651">
            <v>214957.20070561068</v>
          </cell>
        </row>
        <row r="652">
          <cell r="P652">
            <v>2546073</v>
          </cell>
          <cell r="R652">
            <v>117351</v>
          </cell>
          <cell r="S652">
            <v>1779268.1378032002</v>
          </cell>
          <cell r="T652">
            <v>5030654.3061967995</v>
          </cell>
        </row>
        <row r="653">
          <cell r="P653">
            <v>3168000.6575000002</v>
          </cell>
          <cell r="R653">
            <v>676632.91</v>
          </cell>
          <cell r="S653">
            <v>5096880</v>
          </cell>
          <cell r="T653">
            <v>9257060.0649999995</v>
          </cell>
        </row>
        <row r="654">
          <cell r="P654">
            <v>3371309.4466504906</v>
          </cell>
          <cell r="R654">
            <v>647651.78</v>
          </cell>
          <cell r="S654">
            <v>5359680</v>
          </cell>
          <cell r="T654">
            <v>9102817.6013514716</v>
          </cell>
        </row>
        <row r="655">
          <cell r="P655">
            <v>6983424.6841790471</v>
          </cell>
          <cell r="R655">
            <v>1837349.24</v>
          </cell>
          <cell r="S655">
            <v>13652640</v>
          </cell>
          <cell r="T655">
            <v>29635370.080844365</v>
          </cell>
        </row>
        <row r="656">
          <cell r="P656">
            <v>7052461.9983708654</v>
          </cell>
          <cell r="R656">
            <v>1767334.38</v>
          </cell>
          <cell r="S656">
            <v>16048080</v>
          </cell>
          <cell r="T656">
            <v>28414740.962283455</v>
          </cell>
        </row>
        <row r="657">
          <cell r="P657">
            <v>3961606.8484471501</v>
          </cell>
          <cell r="R657">
            <v>567325.17000000004</v>
          </cell>
          <cell r="S657">
            <v>5429520</v>
          </cell>
          <cell r="T657">
            <v>9354861.5543414503</v>
          </cell>
        </row>
        <row r="658">
          <cell r="P658">
            <v>6585721.5913083674</v>
          </cell>
          <cell r="R658">
            <v>1681347.92</v>
          </cell>
          <cell r="S658">
            <v>13511160</v>
          </cell>
          <cell r="T658">
            <v>24451948.560833462</v>
          </cell>
        </row>
        <row r="659">
          <cell r="P659">
            <v>3367479.3183452347</v>
          </cell>
          <cell r="R659">
            <v>623128.77</v>
          </cell>
          <cell r="S659">
            <v>5009760</v>
          </cell>
          <cell r="T659">
            <v>9371852.2271357067</v>
          </cell>
        </row>
        <row r="660">
          <cell r="P660">
            <v>2833048.3496888997</v>
          </cell>
          <cell r="R660">
            <v>1148817.4000000001</v>
          </cell>
          <cell r="S660">
            <v>14820770.130000003</v>
          </cell>
          <cell r="T660">
            <v>4273761.1246666983</v>
          </cell>
        </row>
        <row r="661">
          <cell r="P661">
            <v>1384418.6154499999</v>
          </cell>
          <cell r="R661">
            <v>289630.06999999995</v>
          </cell>
          <cell r="S661">
            <v>3066568.9802429616</v>
          </cell>
          <cell r="T661">
            <v>530563.48480703915</v>
          </cell>
        </row>
        <row r="662">
          <cell r="R662">
            <v>2807335.7788</v>
          </cell>
          <cell r="S662">
            <v>4375384.2212000005</v>
          </cell>
        </row>
        <row r="663">
          <cell r="P663">
            <v>0</v>
          </cell>
          <cell r="Q663">
            <v>0</v>
          </cell>
          <cell r="R663">
            <v>0</v>
          </cell>
          <cell r="S663">
            <v>7182720</v>
          </cell>
          <cell r="T663">
            <v>0</v>
          </cell>
        </row>
        <row r="664">
          <cell r="P664">
            <v>20048286.631156877</v>
          </cell>
          <cell r="R664">
            <v>5456010.6915999996</v>
          </cell>
          <cell r="S664">
            <v>38472464.879999995</v>
          </cell>
          <cell r="T664">
            <v>77867403.670000002</v>
          </cell>
        </row>
        <row r="665">
          <cell r="R665">
            <v>1451751.6596799998</v>
          </cell>
          <cell r="S665">
            <v>853447.68032000051</v>
          </cell>
          <cell r="T665">
            <v>0</v>
          </cell>
        </row>
        <row r="666">
          <cell r="P666">
            <v>3007275.9718176005</v>
          </cell>
          <cell r="R666">
            <v>0</v>
          </cell>
          <cell r="S666">
            <v>8167617.4056179998</v>
          </cell>
          <cell r="T666">
            <v>10862392.818070401</v>
          </cell>
        </row>
        <row r="667">
          <cell r="P667">
            <v>5009763.3724291995</v>
          </cell>
          <cell r="R667">
            <v>0</v>
          </cell>
          <cell r="S667">
            <v>7179911.9088660004</v>
          </cell>
          <cell r="T667">
            <v>18749068.661316801</v>
          </cell>
        </row>
        <row r="668">
          <cell r="P668">
            <v>1919629.1910700002</v>
          </cell>
          <cell r="R668">
            <v>0</v>
          </cell>
          <cell r="S668">
            <v>4040696.8275600001</v>
          </cell>
          <cell r="T668">
            <v>5190102.5302099995</v>
          </cell>
        </row>
        <row r="669">
          <cell r="P669">
            <v>1452195.0248139997</v>
          </cell>
          <cell r="R669">
            <v>0</v>
          </cell>
          <cell r="S669">
            <v>5450941.3911319999</v>
          </cell>
          <cell r="T669">
            <v>4123672.8100419985</v>
          </cell>
        </row>
        <row r="670">
          <cell r="R670">
            <v>8535516.9905999992</v>
          </cell>
          <cell r="S670">
            <v>13012643.009400001</v>
          </cell>
          <cell r="T670">
            <v>0</v>
          </cell>
        </row>
        <row r="671">
          <cell r="R671">
            <v>0</v>
          </cell>
          <cell r="S671">
            <v>4064823.6560380002</v>
          </cell>
          <cell r="T671">
            <v>0</v>
          </cell>
        </row>
        <row r="672">
          <cell r="P672">
            <v>2077460.7349500002</v>
          </cell>
          <cell r="R672">
            <v>0</v>
          </cell>
          <cell r="S672">
            <v>3700275.840448</v>
          </cell>
          <cell r="T672">
            <v>5985930.7944499999</v>
          </cell>
        </row>
        <row r="673">
          <cell r="P673">
            <v>0</v>
          </cell>
          <cell r="R673">
            <v>0</v>
          </cell>
          <cell r="S673">
            <v>3984511.2353214002</v>
          </cell>
          <cell r="T673">
            <v>0</v>
          </cell>
        </row>
        <row r="674">
          <cell r="P674">
            <v>1497757.0491000004</v>
          </cell>
          <cell r="R674">
            <v>1360732.8177999998</v>
          </cell>
          <cell r="S674">
            <v>9373118.0399999991</v>
          </cell>
          <cell r="T674">
            <v>4087525.2091000006</v>
          </cell>
        </row>
        <row r="675">
          <cell r="P675">
            <v>417931.19377368968</v>
          </cell>
          <cell r="R675">
            <v>0</v>
          </cell>
          <cell r="S675">
            <v>7970577.2975559998</v>
          </cell>
          <cell r="T675">
            <v>727618.34132107161</v>
          </cell>
        </row>
        <row r="676">
          <cell r="P676">
            <v>182520.66723549983</v>
          </cell>
          <cell r="R676">
            <v>0</v>
          </cell>
          <cell r="S676">
            <v>3735582.6662320001</v>
          </cell>
          <cell r="T676">
            <v>273232.04270650027</v>
          </cell>
        </row>
        <row r="677">
          <cell r="P677">
            <v>1025873.1100000001</v>
          </cell>
          <cell r="R677">
            <v>130968</v>
          </cell>
          <cell r="S677">
            <v>0</v>
          </cell>
          <cell r="T677">
            <v>2704868.9142000005</v>
          </cell>
        </row>
        <row r="678">
          <cell r="P678">
            <v>1025712.6925</v>
          </cell>
          <cell r="R678">
            <v>130478.39999999999</v>
          </cell>
          <cell r="S678">
            <v>0</v>
          </cell>
          <cell r="T678">
            <v>2704915.0697000008</v>
          </cell>
        </row>
        <row r="679">
          <cell r="R679">
            <v>0</v>
          </cell>
          <cell r="S679">
            <v>4238137.3835959993</v>
          </cell>
          <cell r="T679">
            <v>0</v>
          </cell>
        </row>
        <row r="680">
          <cell r="P680">
            <v>1032644.9850015</v>
          </cell>
          <cell r="R680">
            <v>135159.18</v>
          </cell>
          <cell r="S680">
            <v>0</v>
          </cell>
          <cell r="T680">
            <v>2921343.3848044998</v>
          </cell>
        </row>
        <row r="681">
          <cell r="P681">
            <v>1051075.2086485</v>
          </cell>
          <cell r="R681">
            <v>129846</v>
          </cell>
          <cell r="S681">
            <v>0</v>
          </cell>
          <cell r="T681">
            <v>2976389.7405455001</v>
          </cell>
        </row>
        <row r="682">
          <cell r="P682">
            <v>981537.54032600031</v>
          </cell>
          <cell r="R682">
            <v>139199.4</v>
          </cell>
          <cell r="S682">
            <v>0</v>
          </cell>
          <cell r="T682">
            <v>2810596.1825780007</v>
          </cell>
        </row>
        <row r="683">
          <cell r="P683">
            <v>4707435.7713200003</v>
          </cell>
          <cell r="R683">
            <v>842274.75119999982</v>
          </cell>
          <cell r="S683">
            <v>0</v>
          </cell>
          <cell r="T683">
            <v>15950624.063580001</v>
          </cell>
        </row>
        <row r="684">
          <cell r="P684">
            <v>4959238.5646800017</v>
          </cell>
          <cell r="R684">
            <v>4228044.5309999995</v>
          </cell>
          <cell r="S684">
            <v>29230291.799999993</v>
          </cell>
          <cell r="T684">
            <v>13038962.852420006</v>
          </cell>
        </row>
        <row r="685">
          <cell r="R685">
            <v>3029155.0006399998</v>
          </cell>
          <cell r="S685">
            <v>1314965.79336</v>
          </cell>
          <cell r="T685">
            <v>0</v>
          </cell>
        </row>
        <row r="686">
          <cell r="R686">
            <v>1485822.2269000001</v>
          </cell>
          <cell r="S686">
            <v>1781029.1636999999</v>
          </cell>
          <cell r="T686">
            <v>0</v>
          </cell>
        </row>
        <row r="687">
          <cell r="R687">
            <v>1415988.7621999998</v>
          </cell>
          <cell r="S687">
            <v>1721284.8762000003</v>
          </cell>
          <cell r="T687">
            <v>2.3283064365386963E-10</v>
          </cell>
        </row>
        <row r="688">
          <cell r="R688">
            <v>0</v>
          </cell>
          <cell r="S688">
            <v>3602238.3189560003</v>
          </cell>
          <cell r="T688">
            <v>0</v>
          </cell>
        </row>
        <row r="689">
          <cell r="Q689">
            <v>0</v>
          </cell>
          <cell r="R689">
            <v>770202.03700000001</v>
          </cell>
          <cell r="S689">
            <v>2821157.963</v>
          </cell>
          <cell r="T689">
            <v>0</v>
          </cell>
        </row>
        <row r="690">
          <cell r="R690">
            <v>994262.34</v>
          </cell>
          <cell r="S690">
            <v>5454577.7572000008</v>
          </cell>
          <cell r="T690">
            <v>0</v>
          </cell>
        </row>
        <row r="691">
          <cell r="P691">
            <v>1931757.0175000001</v>
          </cell>
          <cell r="R691">
            <v>256326</v>
          </cell>
          <cell r="S691">
            <v>4551091.2824605983</v>
          </cell>
          <cell r="T691">
            <v>586601.33273940161</v>
          </cell>
        </row>
        <row r="692">
          <cell r="P692">
            <v>1004622.6900000002</v>
          </cell>
          <cell r="R692">
            <v>590869.3600000001</v>
          </cell>
          <cell r="S692">
            <v>4537489.25</v>
          </cell>
          <cell r="T692">
            <v>1136634.9804999996</v>
          </cell>
        </row>
        <row r="693">
          <cell r="P693">
            <v>1061810.4948814395</v>
          </cell>
          <cell r="Q693">
            <v>0</v>
          </cell>
          <cell r="R693">
            <v>735428.12</v>
          </cell>
          <cell r="S693">
            <v>6187320</v>
          </cell>
          <cell r="T693">
            <v>5508985.098339038</v>
          </cell>
        </row>
        <row r="694">
          <cell r="P694">
            <v>1455759.210889759</v>
          </cell>
          <cell r="Q694">
            <v>0</v>
          </cell>
          <cell r="R694">
            <v>961935.16</v>
          </cell>
          <cell r="S694">
            <v>9740988.0000000019</v>
          </cell>
          <cell r="T694">
            <v>5324700.564280156</v>
          </cell>
        </row>
        <row r="695">
          <cell r="P695">
            <v>3458722.2639504001</v>
          </cell>
          <cell r="Q695">
            <v>0</v>
          </cell>
          <cell r="R695">
            <v>922746.27</v>
          </cell>
          <cell r="S695">
            <v>9374040</v>
          </cell>
          <cell r="T695">
            <v>12195976.363807667</v>
          </cell>
        </row>
        <row r="696">
          <cell r="P696">
            <v>4241300.1245600004</v>
          </cell>
          <cell r="Q696">
            <v>0</v>
          </cell>
          <cell r="R696">
            <v>1131941.27</v>
          </cell>
          <cell r="S696">
            <v>14838480</v>
          </cell>
          <cell r="T696">
            <v>13558992.761326943</v>
          </cell>
        </row>
        <row r="697">
          <cell r="P697">
            <v>1006870.2874999999</v>
          </cell>
          <cell r="Q697">
            <v>0</v>
          </cell>
          <cell r="R697">
            <v>616679.91</v>
          </cell>
          <cell r="S697">
            <v>5819760</v>
          </cell>
          <cell r="T697">
            <v>4301767.8475906961</v>
          </cell>
        </row>
        <row r="698">
          <cell r="P698">
            <v>4716196.3342839032</v>
          </cell>
          <cell r="Q698">
            <v>0</v>
          </cell>
          <cell r="R698">
            <v>627921.55000000005</v>
          </cell>
          <cell r="S698">
            <v>8245980</v>
          </cell>
          <cell r="T698">
            <v>19681027.005364705</v>
          </cell>
        </row>
        <row r="699">
          <cell r="Q699">
            <v>0</v>
          </cell>
          <cell r="R699">
            <v>1075491.9000000001</v>
          </cell>
          <cell r="S699">
            <v>7376220.7778820973</v>
          </cell>
          <cell r="T699">
            <v>2.3283064365386963E-10</v>
          </cell>
        </row>
        <row r="700">
          <cell r="Q700">
            <v>0</v>
          </cell>
          <cell r="R700">
            <v>1101469.82</v>
          </cell>
          <cell r="S700">
            <v>6423287.8454845184</v>
          </cell>
          <cell r="T700">
            <v>0</v>
          </cell>
        </row>
        <row r="701">
          <cell r="P701">
            <v>992724.08210077998</v>
          </cell>
          <cell r="R701">
            <v>28772.465999999997</v>
          </cell>
          <cell r="S701">
            <v>0</v>
          </cell>
          <cell r="T701">
            <v>2574244.4951023404</v>
          </cell>
        </row>
        <row r="702">
          <cell r="P702">
            <v>81633.803878679973</v>
          </cell>
          <cell r="R702">
            <v>25998.780000000002</v>
          </cell>
          <cell r="S702">
            <v>0</v>
          </cell>
          <cell r="T702">
            <v>0</v>
          </cell>
        </row>
        <row r="703">
          <cell r="P703">
            <v>1647930.1753248754</v>
          </cell>
          <cell r="R703">
            <v>79828.565999999992</v>
          </cell>
          <cell r="S703">
            <v>0</v>
          </cell>
          <cell r="T703">
            <v>4273248.0984746255</v>
          </cell>
        </row>
        <row r="704">
          <cell r="P704">
            <v>1036056.2405274999</v>
          </cell>
          <cell r="R704">
            <v>44255.861999999994</v>
          </cell>
          <cell r="S704">
            <v>0</v>
          </cell>
          <cell r="T704">
            <v>2499835.6603824999</v>
          </cell>
        </row>
        <row r="705">
          <cell r="P705">
            <v>666824.07274607487</v>
          </cell>
          <cell r="R705">
            <v>34957.133999999991</v>
          </cell>
          <cell r="S705">
            <v>0</v>
          </cell>
          <cell r="T705">
            <v>1726439.662738225</v>
          </cell>
        </row>
        <row r="706">
          <cell r="R706">
            <v>1513766.7257999999</v>
          </cell>
          <cell r="S706">
            <v>0</v>
          </cell>
          <cell r="T706">
            <v>0</v>
          </cell>
        </row>
        <row r="707">
          <cell r="R707">
            <v>0</v>
          </cell>
          <cell r="S707">
            <v>543894.30090000003</v>
          </cell>
          <cell r="T707">
            <v>0</v>
          </cell>
        </row>
        <row r="708">
          <cell r="R708">
            <v>0</v>
          </cell>
          <cell r="S708">
            <v>536732.4389999999</v>
          </cell>
          <cell r="T708">
            <v>0</v>
          </cell>
        </row>
        <row r="709">
          <cell r="R709">
            <v>367776.86744473106</v>
          </cell>
          <cell r="S709">
            <v>0</v>
          </cell>
          <cell r="T709">
            <v>0</v>
          </cell>
        </row>
        <row r="710">
          <cell r="R710">
            <v>1746851.7199999997</v>
          </cell>
          <cell r="S710">
            <v>396310.40830000024</v>
          </cell>
          <cell r="T710">
            <v>0</v>
          </cell>
        </row>
        <row r="711">
          <cell r="R711">
            <v>1196439.7000000002</v>
          </cell>
          <cell r="S711">
            <v>472478.10049999994</v>
          </cell>
          <cell r="T711">
            <v>0</v>
          </cell>
        </row>
        <row r="712">
          <cell r="R712">
            <v>1090164.3753000002</v>
          </cell>
          <cell r="S712">
            <v>0</v>
          </cell>
          <cell r="T712">
            <v>0</v>
          </cell>
        </row>
        <row r="713">
          <cell r="R713">
            <v>1458644.1368999998</v>
          </cell>
          <cell r="S713">
            <v>0</v>
          </cell>
          <cell r="T713">
            <v>0</v>
          </cell>
        </row>
        <row r="714">
          <cell r="P714">
            <v>1751097.6945964801</v>
          </cell>
          <cell r="R714">
            <v>373252.68000000005</v>
          </cell>
          <cell r="S714">
            <v>2133720</v>
          </cell>
          <cell r="T714">
            <v>0</v>
          </cell>
        </row>
        <row r="715">
          <cell r="Q715">
            <v>0</v>
          </cell>
          <cell r="R715">
            <v>2666641.9500000002</v>
          </cell>
          <cell r="S715">
            <v>8276125.0099179232</v>
          </cell>
          <cell r="T715">
            <v>0</v>
          </cell>
        </row>
        <row r="716">
          <cell r="P716">
            <v>1760352.89</v>
          </cell>
          <cell r="R716">
            <v>316207.04435401992</v>
          </cell>
          <cell r="S716">
            <v>2961216.8026459804</v>
          </cell>
          <cell r="T716">
            <v>0</v>
          </cell>
        </row>
        <row r="717">
          <cell r="P717">
            <v>0</v>
          </cell>
          <cell r="R717">
            <v>203932.15</v>
          </cell>
          <cell r="S717">
            <v>4792923.4461000003</v>
          </cell>
          <cell r="T717">
            <v>0</v>
          </cell>
        </row>
        <row r="718">
          <cell r="P718">
            <v>3867495.7968583526</v>
          </cell>
          <cell r="Q718">
            <v>0</v>
          </cell>
          <cell r="R718">
            <v>332408.91000000003</v>
          </cell>
          <cell r="S718">
            <v>2601082.8799999999</v>
          </cell>
          <cell r="T718">
            <v>14067.599999999627</v>
          </cell>
        </row>
        <row r="719">
          <cell r="P719">
            <v>3397803.4296157993</v>
          </cell>
          <cell r="R719">
            <v>154434.46</v>
          </cell>
          <cell r="S719">
            <v>1352160</v>
          </cell>
          <cell r="T7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1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>
        <row r="70">
          <cell r="N70">
            <v>4592465.8816174399</v>
          </cell>
          <cell r="P70"/>
          <cell r="Q70"/>
          <cell r="R70">
            <v>761274.89161743969</v>
          </cell>
          <cell r="S70">
            <v>3831190.99</v>
          </cell>
        </row>
        <row r="125">
          <cell r="P125">
            <v>3041730.66</v>
          </cell>
          <cell r="S125">
            <v>2922430.3493955806</v>
          </cell>
        </row>
        <row r="350">
          <cell r="R350">
            <v>715787.88</v>
          </cell>
          <cell r="S350">
            <v>3319460.8316984079</v>
          </cell>
        </row>
        <row r="364">
          <cell r="R364">
            <v>530132.51</v>
          </cell>
          <cell r="S364">
            <v>0</v>
          </cell>
        </row>
        <row r="365">
          <cell r="R365">
            <v>706857.29</v>
          </cell>
          <cell r="S365">
            <v>758694.68244965025</v>
          </cell>
        </row>
        <row r="366">
          <cell r="R366">
            <v>356038.84078929177</v>
          </cell>
          <cell r="S366">
            <v>3086914.8996206718</v>
          </cell>
        </row>
        <row r="405">
          <cell r="R405">
            <v>287932.7</v>
          </cell>
          <cell r="S405">
            <v>0</v>
          </cell>
        </row>
      </sheetData>
      <sheetData sheetId="1">
        <row r="70">
          <cell r="E70">
            <v>4592465.8816174399</v>
          </cell>
        </row>
        <row r="125">
          <cell r="E125">
            <v>5964161.0093955807</v>
          </cell>
        </row>
        <row r="350">
          <cell r="E350">
            <v>4035248.7116984078</v>
          </cell>
        </row>
        <row r="364">
          <cell r="E364">
            <v>530132.51</v>
          </cell>
        </row>
        <row r="365">
          <cell r="E365">
            <v>1465551.9724496503</v>
          </cell>
        </row>
        <row r="366">
          <cell r="E366">
            <v>3442953.7404099633</v>
          </cell>
        </row>
        <row r="405">
          <cell r="E405">
            <v>287932.7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>
        <row r="152">
          <cell r="I152">
            <v>4809786.58</v>
          </cell>
        </row>
        <row r="189">
          <cell r="I189">
            <v>1184931.19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Р 2019-2020 опл по источн"/>
      <sheetName val="КПКР 2021 оплата по источникам"/>
      <sheetName val="Лист1"/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 refreshError="1"/>
      <sheetData sheetId="1">
        <row r="1185">
          <cell r="BG1185">
            <v>1170073.3600000001</v>
          </cell>
        </row>
        <row r="1187">
          <cell r="BG1187">
            <v>828630.51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759"/>
  <sheetViews>
    <sheetView showZeros="0" view="pageBreakPreview" zoomScale="70" zoomScaleNormal="85" zoomScaleSheetLayoutView="70" workbookViewId="0">
      <pane xSplit="4" ySplit="12" topLeftCell="J484" activePane="bottomRight" state="frozen"/>
      <selection pane="topRight" activeCell="E1" sqref="E1"/>
      <selection pane="bottomLeft" activeCell="A13" sqref="A13"/>
      <selection pane="bottomRight" activeCell="L501" sqref="L501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41.85546875" style="1" customWidth="1"/>
    <col min="4" max="4" width="82.5703125" style="1" customWidth="1"/>
    <col min="5" max="5" width="10.7109375" style="2" customWidth="1"/>
    <col min="6" max="6" width="12.7109375" style="2" customWidth="1"/>
    <col min="7" max="7" width="22.42578125" style="2" customWidth="1"/>
    <col min="8" max="8" width="9" style="2" customWidth="1"/>
    <col min="9" max="9" width="8.7109375" style="2" customWidth="1"/>
    <col min="10" max="10" width="14" style="1" customWidth="1"/>
    <col min="11" max="11" width="17.140625" style="1" customWidth="1"/>
    <col min="12" max="12" width="13.42578125" style="1" customWidth="1"/>
    <col min="13" max="13" width="12.7109375" style="1" customWidth="1"/>
    <col min="14" max="14" width="21" style="1" customWidth="1"/>
    <col min="15" max="15" width="17" style="1" hidden="1" customWidth="1"/>
    <col min="16" max="16" width="20" style="1" customWidth="1"/>
    <col min="17" max="18" width="17.85546875" style="1" customWidth="1"/>
    <col min="19" max="19" width="22.28515625" style="1" customWidth="1"/>
    <col min="20" max="20" width="19" style="1" customWidth="1"/>
    <col min="21" max="22" width="17.140625" style="1" hidden="1" customWidth="1"/>
    <col min="23" max="23" width="17.140625" style="2" customWidth="1"/>
    <col min="24" max="24" width="16.28515625" style="1" hidden="1" customWidth="1"/>
    <col min="25" max="25" width="9.140625" style="1" hidden="1" customWidth="1"/>
    <col min="26" max="41" width="16.85546875" style="1" hidden="1" customWidth="1"/>
    <col min="42" max="42" width="25.42578125" style="1" bestFit="1" customWidth="1"/>
    <col min="43" max="43" width="14.5703125" style="1" customWidth="1"/>
    <col min="44" max="44" width="9.140625" style="1" customWidth="1"/>
    <col min="45" max="45" width="17.28515625" style="1" customWidth="1"/>
    <col min="46" max="46" width="18.140625" style="1" customWidth="1"/>
    <col min="47" max="47" width="17.7109375" style="1" customWidth="1"/>
    <col min="48" max="50" width="12.42578125" style="1" customWidth="1"/>
    <col min="51" max="51" width="11" style="1" customWidth="1"/>
    <col min="52" max="16384" width="9.140625" style="1"/>
  </cols>
  <sheetData>
    <row r="1" spans="1:45" ht="15.75" x14ac:dyDescent="0.25">
      <c r="W1" s="92" t="s">
        <v>0</v>
      </c>
    </row>
    <row r="2" spans="1:45" ht="15.75" x14ac:dyDescent="0.25">
      <c r="N2" s="3"/>
      <c r="W2" s="92" t="s">
        <v>239</v>
      </c>
    </row>
    <row r="3" spans="1:45" ht="15.75" x14ac:dyDescent="0.25">
      <c r="N3" s="3"/>
      <c r="W3" s="92" t="s">
        <v>776</v>
      </c>
    </row>
    <row r="5" spans="1:45" x14ac:dyDescent="0.25">
      <c r="AP5" s="3">
        <f>P14-P29-P33-P41-P43-P54</f>
        <v>465045994.46738726</v>
      </c>
      <c r="AQ5" s="3" t="e">
        <f>AP5+#REF!</f>
        <v>#REF!</v>
      </c>
    </row>
    <row r="6" spans="1:45" s="4" customFormat="1" ht="20.25" x14ac:dyDescent="0.25">
      <c r="A6" s="170" t="s">
        <v>137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AP6" s="105">
        <f>AP10-P29-P33-P41-P43-P54</f>
        <v>457870517.62646502</v>
      </c>
    </row>
    <row r="7" spans="1:45" s="4" customFormat="1" ht="16.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6"/>
      <c r="Q7" s="5"/>
      <c r="R7" s="5"/>
      <c r="S7" s="5"/>
      <c r="T7" s="5"/>
      <c r="U7" s="5"/>
      <c r="V7" s="5"/>
      <c r="W7" s="5"/>
      <c r="AP7" s="105" t="e">
        <f>AP8+#REF!</f>
        <v>#REF!</v>
      </c>
    </row>
    <row r="8" spans="1:45" s="4" customFormat="1" x14ac:dyDescent="0.25">
      <c r="A8" s="7"/>
      <c r="B8" s="7"/>
      <c r="C8" s="7"/>
      <c r="D8" s="7"/>
      <c r="E8" s="8"/>
      <c r="F8" s="8"/>
      <c r="G8" s="8"/>
      <c r="H8" s="8"/>
      <c r="I8" s="9"/>
      <c r="J8" s="10"/>
      <c r="K8" s="10"/>
      <c r="L8" s="10"/>
      <c r="M8" s="11"/>
      <c r="N8" s="12"/>
      <c r="O8" s="12"/>
      <c r="P8" s="12"/>
      <c r="Q8" s="12"/>
      <c r="R8" s="12"/>
      <c r="S8" s="12"/>
      <c r="T8" s="12"/>
      <c r="U8" s="13"/>
      <c r="V8" s="13"/>
      <c r="W8" s="8"/>
      <c r="AP8" s="105">
        <f>P14-AP9</f>
        <v>465045994.4673872</v>
      </c>
    </row>
    <row r="9" spans="1:45" s="14" customFormat="1" ht="14.25" customHeight="1" x14ac:dyDescent="0.25">
      <c r="A9" s="171" t="s">
        <v>1</v>
      </c>
      <c r="B9" s="171" t="s">
        <v>1</v>
      </c>
      <c r="C9" s="168" t="s">
        <v>2</v>
      </c>
      <c r="D9" s="168" t="s">
        <v>3</v>
      </c>
      <c r="E9" s="173" t="s">
        <v>4</v>
      </c>
      <c r="F9" s="174"/>
      <c r="G9" s="168" t="s">
        <v>5</v>
      </c>
      <c r="H9" s="168" t="s">
        <v>6</v>
      </c>
      <c r="I9" s="175" t="s">
        <v>7</v>
      </c>
      <c r="J9" s="177" t="s">
        <v>8</v>
      </c>
      <c r="K9" s="180" t="s">
        <v>9</v>
      </c>
      <c r="L9" s="181"/>
      <c r="M9" s="182" t="s">
        <v>10</v>
      </c>
      <c r="N9" s="185" t="s">
        <v>11</v>
      </c>
      <c r="O9" s="185"/>
      <c r="P9" s="185"/>
      <c r="Q9" s="185"/>
      <c r="R9" s="185"/>
      <c r="S9" s="185"/>
      <c r="T9" s="185"/>
      <c r="U9" s="165" t="s">
        <v>12</v>
      </c>
      <c r="V9" s="165" t="s">
        <v>13</v>
      </c>
      <c r="W9" s="168" t="s">
        <v>14</v>
      </c>
      <c r="X9" s="14">
        <v>540274945.17642701</v>
      </c>
      <c r="Z9" s="189" t="s">
        <v>15</v>
      </c>
      <c r="AA9" s="185" t="s">
        <v>77</v>
      </c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06">
        <f>P29+P33+P41+P43+P54</f>
        <v>82404427.549962014</v>
      </c>
    </row>
    <row r="10" spans="1:45" s="14" customFormat="1" ht="14.25" x14ac:dyDescent="0.25">
      <c r="A10" s="172"/>
      <c r="B10" s="172"/>
      <c r="C10" s="169"/>
      <c r="D10" s="169"/>
      <c r="E10" s="168" t="s">
        <v>16</v>
      </c>
      <c r="F10" s="168" t="s">
        <v>17</v>
      </c>
      <c r="G10" s="169"/>
      <c r="H10" s="169"/>
      <c r="I10" s="176"/>
      <c r="J10" s="178"/>
      <c r="K10" s="177" t="s">
        <v>18</v>
      </c>
      <c r="L10" s="177" t="s">
        <v>19</v>
      </c>
      <c r="M10" s="183"/>
      <c r="N10" s="166" t="s">
        <v>20</v>
      </c>
      <c r="O10" s="186" t="s">
        <v>21</v>
      </c>
      <c r="P10" s="187"/>
      <c r="Q10" s="187"/>
      <c r="R10" s="187"/>
      <c r="S10" s="187"/>
      <c r="T10" s="188"/>
      <c r="U10" s="166"/>
      <c r="V10" s="166"/>
      <c r="W10" s="169"/>
      <c r="X10" s="99">
        <f>P14-X9</f>
        <v>7175476.8409222364</v>
      </c>
      <c r="Z10" s="190"/>
      <c r="AA10" s="192" t="s">
        <v>22</v>
      </c>
      <c r="AB10" s="192"/>
      <c r="AC10" s="192"/>
      <c r="AD10" s="192"/>
      <c r="AE10" s="192"/>
      <c r="AF10" s="192"/>
      <c r="AG10" s="192"/>
      <c r="AH10" s="192" t="s">
        <v>80</v>
      </c>
      <c r="AI10" s="192" t="s">
        <v>24</v>
      </c>
      <c r="AJ10" s="192" t="s">
        <v>25</v>
      </c>
      <c r="AK10" s="192" t="s">
        <v>26</v>
      </c>
      <c r="AL10" s="192" t="s">
        <v>27</v>
      </c>
      <c r="AM10" s="192" t="s">
        <v>75</v>
      </c>
      <c r="AN10" s="192" t="s">
        <v>76</v>
      </c>
      <c r="AO10" s="192" t="s">
        <v>88</v>
      </c>
      <c r="AP10" s="14">
        <v>540274945.17642701</v>
      </c>
    </row>
    <row r="11" spans="1:45" s="14" customFormat="1" ht="78.75" customHeight="1" x14ac:dyDescent="0.25">
      <c r="A11" s="172"/>
      <c r="B11" s="172"/>
      <c r="C11" s="169"/>
      <c r="D11" s="169"/>
      <c r="E11" s="169"/>
      <c r="F11" s="169"/>
      <c r="G11" s="169"/>
      <c r="H11" s="169"/>
      <c r="I11" s="176"/>
      <c r="J11" s="179"/>
      <c r="K11" s="179"/>
      <c r="L11" s="179"/>
      <c r="M11" s="184"/>
      <c r="N11" s="167"/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141</v>
      </c>
      <c r="U11" s="167"/>
      <c r="V11" s="167"/>
      <c r="W11" s="169"/>
      <c r="Z11" s="191"/>
      <c r="AA11" s="16" t="s">
        <v>33</v>
      </c>
      <c r="AB11" s="16" t="s">
        <v>34</v>
      </c>
      <c r="AC11" s="16" t="s">
        <v>35</v>
      </c>
      <c r="AD11" s="16" t="s">
        <v>36</v>
      </c>
      <c r="AE11" s="16" t="s">
        <v>37</v>
      </c>
      <c r="AF11" s="16" t="s">
        <v>38</v>
      </c>
      <c r="AG11" s="16" t="s">
        <v>23</v>
      </c>
      <c r="AH11" s="192"/>
      <c r="AI11" s="192"/>
      <c r="AJ11" s="192"/>
      <c r="AK11" s="192"/>
      <c r="AL11" s="192"/>
      <c r="AM11" s="192"/>
      <c r="AN11" s="192"/>
      <c r="AO11" s="192"/>
      <c r="AP11" s="99" t="e">
        <f>AP10-(P14+#REF!)</f>
        <v>#REF!</v>
      </c>
      <c r="AQ11" s="14" t="s">
        <v>138</v>
      </c>
      <c r="AR11" s="14" t="s">
        <v>139</v>
      </c>
      <c r="AS11" s="14" t="s">
        <v>140</v>
      </c>
    </row>
    <row r="12" spans="1:45" s="20" customFormat="1" ht="14.25" x14ac:dyDescent="0.25">
      <c r="A12" s="172"/>
      <c r="B12" s="172"/>
      <c r="C12" s="169"/>
      <c r="D12" s="169"/>
      <c r="E12" s="169"/>
      <c r="F12" s="169"/>
      <c r="G12" s="169"/>
      <c r="H12" s="169"/>
      <c r="I12" s="176"/>
      <c r="J12" s="17" t="s">
        <v>39</v>
      </c>
      <c r="K12" s="17" t="s">
        <v>39</v>
      </c>
      <c r="L12" s="17" t="s">
        <v>39</v>
      </c>
      <c r="M12" s="18" t="s">
        <v>40</v>
      </c>
      <c r="N12" s="19" t="s">
        <v>41</v>
      </c>
      <c r="O12" s="19" t="s">
        <v>41</v>
      </c>
      <c r="P12" s="19"/>
      <c r="Q12" s="19" t="s">
        <v>41</v>
      </c>
      <c r="R12" s="19" t="s">
        <v>41</v>
      </c>
      <c r="S12" s="19" t="s">
        <v>41</v>
      </c>
      <c r="T12" s="19"/>
      <c r="U12" s="19" t="s">
        <v>42</v>
      </c>
      <c r="V12" s="19" t="s">
        <v>42</v>
      </c>
      <c r="W12" s="169"/>
      <c r="Z12" s="19" t="s">
        <v>41</v>
      </c>
      <c r="AA12" s="19" t="s">
        <v>41</v>
      </c>
      <c r="AB12" s="19" t="s">
        <v>41</v>
      </c>
      <c r="AC12" s="19" t="s">
        <v>41</v>
      </c>
      <c r="AD12" s="19" t="s">
        <v>41</v>
      </c>
      <c r="AE12" s="19" t="s">
        <v>41</v>
      </c>
      <c r="AF12" s="19" t="s">
        <v>41</v>
      </c>
      <c r="AG12" s="19" t="s">
        <v>41</v>
      </c>
      <c r="AH12" s="19" t="s">
        <v>41</v>
      </c>
      <c r="AI12" s="19" t="s">
        <v>41</v>
      </c>
      <c r="AJ12" s="19" t="s">
        <v>41</v>
      </c>
      <c r="AK12" s="19" t="s">
        <v>41</v>
      </c>
      <c r="AL12" s="19" t="s">
        <v>41</v>
      </c>
      <c r="AM12" s="19" t="s">
        <v>41</v>
      </c>
      <c r="AN12" s="19" t="s">
        <v>41</v>
      </c>
      <c r="AO12" s="19" t="s">
        <v>41</v>
      </c>
    </row>
    <row r="13" spans="1:45" s="20" customFormat="1" ht="14.25" x14ac:dyDescent="0.25">
      <c r="A13" s="112"/>
      <c r="B13" s="44"/>
      <c r="C13" s="45"/>
      <c r="D13" s="113" t="s">
        <v>256</v>
      </c>
      <c r="E13" s="124"/>
      <c r="F13" s="113"/>
      <c r="G13" s="118"/>
      <c r="H13" s="118"/>
      <c r="I13" s="125"/>
      <c r="J13" s="126"/>
      <c r="K13" s="114"/>
      <c r="L13" s="114"/>
      <c r="M13" s="115"/>
      <c r="N13" s="116">
        <f t="shared" ref="N13:T13" si="0">+N14+N206+N481</f>
        <v>8616420224.0726089</v>
      </c>
      <c r="O13" s="47">
        <f t="shared" si="0"/>
        <v>0</v>
      </c>
      <c r="P13" s="117">
        <f t="shared" si="0"/>
        <v>1430284362.0123279</v>
      </c>
      <c r="Q13" s="117">
        <f t="shared" si="0"/>
        <v>4540072</v>
      </c>
      <c r="R13" s="117">
        <f t="shared" si="0"/>
        <v>1069517575.1236575</v>
      </c>
      <c r="S13" s="46">
        <f t="shared" si="0"/>
        <v>3887569447.8503337</v>
      </c>
      <c r="T13" s="47">
        <f t="shared" si="0"/>
        <v>2224508767.0862913</v>
      </c>
      <c r="U13" s="47"/>
      <c r="V13" s="47"/>
      <c r="W13" s="11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5" s="24" customFormat="1" x14ac:dyDescent="0.25">
      <c r="A14" s="119"/>
      <c r="B14" s="49"/>
      <c r="C14" s="49"/>
      <c r="D14" s="49" t="s">
        <v>90</v>
      </c>
      <c r="E14" s="49"/>
      <c r="F14" s="49"/>
      <c r="G14" s="49"/>
      <c r="H14" s="49"/>
      <c r="I14" s="49"/>
      <c r="J14" s="50">
        <f>SUM(J18:J205)</f>
        <v>737192.31</v>
      </c>
      <c r="K14" s="50">
        <f t="shared" ref="K14:M14" si="1">SUM(K18:K205)</f>
        <v>609716.5900000002</v>
      </c>
      <c r="L14" s="50">
        <f t="shared" si="1"/>
        <v>49272.189999999995</v>
      </c>
      <c r="M14" s="50">
        <f t="shared" si="1"/>
        <v>26756</v>
      </c>
      <c r="N14" s="116">
        <f>+P14+Q14+R14+S14+T14</f>
        <v>1912323088.5757682</v>
      </c>
      <c r="O14" s="50">
        <f>SUM(O18:O477)</f>
        <v>0</v>
      </c>
      <c r="P14" s="50">
        <f>+P15+P16+P17</f>
        <v>547450422.01734924</v>
      </c>
      <c r="Q14" s="50">
        <f t="shared" ref="Q14:T14" si="2">+Q15+Q17</f>
        <v>2000000</v>
      </c>
      <c r="R14" s="50">
        <f t="shared" si="2"/>
        <v>264205893.78851348</v>
      </c>
      <c r="S14" s="50">
        <f t="shared" si="2"/>
        <v>853148842.55922198</v>
      </c>
      <c r="T14" s="50">
        <f t="shared" si="2"/>
        <v>245517930.21068355</v>
      </c>
      <c r="U14" s="50"/>
      <c r="V14" s="50"/>
      <c r="W14" s="50"/>
      <c r="X14" s="22" t="e">
        <f>+#REF!+#REF!+#REF!+#REF!+#REF!+#REF!</f>
        <v>#REF!</v>
      </c>
      <c r="Y14" s="22" t="e">
        <f>+#REF!+#REF!+#REF!+#REF!+#REF!+#REF!</f>
        <v>#REF!</v>
      </c>
      <c r="Z14" s="22" t="e">
        <f>+#REF!+#REF!+#REF!+#REF!+#REF!+#REF!</f>
        <v>#REF!</v>
      </c>
      <c r="AA14" s="22" t="e">
        <f>+#REF!+#REF!+#REF!+#REF!+#REF!+#REF!</f>
        <v>#REF!</v>
      </c>
      <c r="AB14" s="22" t="e">
        <f>+#REF!+#REF!+#REF!+#REF!+#REF!+#REF!</f>
        <v>#REF!</v>
      </c>
      <c r="AC14" s="22" t="e">
        <f>+#REF!+#REF!+#REF!+#REF!+#REF!+#REF!</f>
        <v>#REF!</v>
      </c>
      <c r="AD14" s="22" t="e">
        <f>+#REF!+#REF!+#REF!+#REF!+#REF!+#REF!</f>
        <v>#REF!</v>
      </c>
      <c r="AE14" s="22" t="e">
        <f>+#REF!+#REF!+#REF!+#REF!+#REF!+#REF!</f>
        <v>#REF!</v>
      </c>
      <c r="AF14" s="22" t="e">
        <f>+#REF!+#REF!+#REF!+#REF!+#REF!+#REF!</f>
        <v>#REF!</v>
      </c>
      <c r="AG14" s="22" t="e">
        <f>+#REF!+#REF!+#REF!+#REF!+#REF!+#REF!</f>
        <v>#REF!</v>
      </c>
      <c r="AH14" s="22" t="e">
        <f>+#REF!+#REF!+#REF!+#REF!+#REF!+#REF!</f>
        <v>#REF!</v>
      </c>
      <c r="AI14" s="22" t="e">
        <f>+#REF!+#REF!+#REF!+#REF!+#REF!+#REF!</f>
        <v>#REF!</v>
      </c>
      <c r="AJ14" s="22" t="e">
        <f>+#REF!+#REF!+#REF!+#REF!+#REF!+#REF!</f>
        <v>#REF!</v>
      </c>
      <c r="AK14" s="22" t="e">
        <f>+#REF!+#REF!+#REF!+#REF!+#REF!+#REF!</f>
        <v>#REF!</v>
      </c>
      <c r="AL14" s="22" t="e">
        <f>+#REF!+#REF!+#REF!+#REF!+#REF!+#REF!</f>
        <v>#REF!</v>
      </c>
      <c r="AM14" s="22" t="e">
        <f>+#REF!+#REF!+#REF!+#REF!+#REF!+#REF!</f>
        <v>#REF!</v>
      </c>
      <c r="AN14" s="22" t="e">
        <f>+#REF!+#REF!+#REF!+#REF!+#REF!+#REF!</f>
        <v>#REF!</v>
      </c>
      <c r="AO14" s="22" t="e">
        <f>+#REF!+#REF!+#REF!+#REF!+#REF!+#REF!</f>
        <v>#REF!</v>
      </c>
      <c r="AP14" s="77">
        <f>+N14-'Приложение №2'!E14</f>
        <v>0</v>
      </c>
    </row>
    <row r="15" spans="1:45" s="24" customFormat="1" x14ac:dyDescent="0.25">
      <c r="A15" s="119"/>
      <c r="B15" s="49"/>
      <c r="C15" s="49"/>
      <c r="D15" s="49" t="s">
        <v>234</v>
      </c>
      <c r="E15" s="49"/>
      <c r="F15" s="49"/>
      <c r="G15" s="49"/>
      <c r="H15" s="49"/>
      <c r="I15" s="49"/>
      <c r="J15" s="50"/>
      <c r="K15" s="50"/>
      <c r="L15" s="50"/>
      <c r="M15" s="50"/>
      <c r="N15" s="116">
        <f t="shared" ref="N15:N28" si="3">+P15+Q15+R15+S15+T15</f>
        <v>147308685.03999999</v>
      </c>
      <c r="O15" s="50"/>
      <c r="P15" s="50">
        <v>147308685.03999999</v>
      </c>
      <c r="Q15" s="50"/>
      <c r="R15" s="50"/>
      <c r="S15" s="50"/>
      <c r="T15" s="50"/>
      <c r="U15" s="50"/>
      <c r="V15" s="50"/>
      <c r="W15" s="96"/>
      <c r="X15" s="94"/>
      <c r="Y15" s="94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93"/>
      <c r="AP15" s="77"/>
    </row>
    <row r="16" spans="1:45" s="24" customFormat="1" x14ac:dyDescent="0.25">
      <c r="A16" s="49"/>
      <c r="B16" s="49"/>
      <c r="C16" s="49"/>
      <c r="D16" s="49" t="s">
        <v>258</v>
      </c>
      <c r="E16" s="49"/>
      <c r="F16" s="49"/>
      <c r="G16" s="49"/>
      <c r="H16" s="49"/>
      <c r="I16" s="49"/>
      <c r="J16" s="50"/>
      <c r="K16" s="50"/>
      <c r="L16" s="50"/>
      <c r="M16" s="50"/>
      <c r="N16" s="116">
        <v>4547441.6000000006</v>
      </c>
      <c r="O16" s="50"/>
      <c r="P16" s="50">
        <v>4547441.6000000006</v>
      </c>
      <c r="Q16" s="50"/>
      <c r="R16" s="50"/>
      <c r="S16" s="50"/>
      <c r="T16" s="50"/>
      <c r="U16" s="50"/>
      <c r="V16" s="50"/>
      <c r="W16" s="50"/>
      <c r="X16" s="94"/>
      <c r="Y16" s="94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93"/>
      <c r="AP16" s="77"/>
    </row>
    <row r="17" spans="1:46" s="24" customForma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50"/>
      <c r="K17" s="50"/>
      <c r="L17" s="50"/>
      <c r="M17" s="50"/>
      <c r="N17" s="116">
        <f t="shared" si="3"/>
        <v>1760466961.9357684</v>
      </c>
      <c r="O17" s="50"/>
      <c r="P17" s="50">
        <f>SUM(P18:P205)</f>
        <v>395594295.3773492</v>
      </c>
      <c r="Q17" s="50">
        <f t="shared" ref="Q17:T17" si="4">SUM(Q18:Q205)</f>
        <v>2000000</v>
      </c>
      <c r="R17" s="50">
        <f t="shared" si="4"/>
        <v>264205893.78851348</v>
      </c>
      <c r="S17" s="50">
        <f t="shared" si="4"/>
        <v>853148842.55922198</v>
      </c>
      <c r="T17" s="50">
        <f t="shared" si="4"/>
        <v>245517930.21068355</v>
      </c>
      <c r="U17" s="50"/>
      <c r="V17" s="50"/>
      <c r="W17" s="50"/>
      <c r="X17" s="94"/>
      <c r="Y17" s="94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93"/>
      <c r="AP17" s="77"/>
    </row>
    <row r="18" spans="1:46" x14ac:dyDescent="0.25">
      <c r="A18" s="72">
        <v>1</v>
      </c>
      <c r="B18" s="73">
        <v>1</v>
      </c>
      <c r="C18" s="73" t="s">
        <v>49</v>
      </c>
      <c r="D18" s="120" t="s">
        <v>261</v>
      </c>
      <c r="E18" s="121">
        <v>1981</v>
      </c>
      <c r="F18" s="121">
        <v>2011</v>
      </c>
      <c r="G18" s="121" t="s">
        <v>43</v>
      </c>
      <c r="H18" s="121">
        <v>5</v>
      </c>
      <c r="I18" s="121">
        <v>6</v>
      </c>
      <c r="J18" s="107">
        <v>5474.4</v>
      </c>
      <c r="K18" s="107">
        <v>4591</v>
      </c>
      <c r="L18" s="107">
        <v>74.8</v>
      </c>
      <c r="M18" s="122">
        <v>142</v>
      </c>
      <c r="N18" s="133">
        <f t="shared" si="3"/>
        <v>35883420.902660385</v>
      </c>
      <c r="O18" s="134"/>
      <c r="P18" s="107">
        <v>6584690.7694666684</v>
      </c>
      <c r="Q18" s="107">
        <v>1000000</v>
      </c>
      <c r="R18" s="107">
        <f>+AQ18+AR18-140393.650533333</f>
        <v>2702980.2694666674</v>
      </c>
      <c r="S18" s="107">
        <v>21119848.48</v>
      </c>
      <c r="T18" s="107">
        <f>+'Приложение №2'!E18-'Приложение №1'!P18-'Приложение №1'!Q18-'Приложение №1'!R18-'Приложение №1'!S18</f>
        <v>4475901.3837270476</v>
      </c>
      <c r="U18" s="107">
        <f t="shared" ref="U18:V28" si="5">$N18/($K18+$L18)</f>
        <v>7690.7327580822976</v>
      </c>
      <c r="V18" s="107">
        <f t="shared" si="5"/>
        <v>7690.7327580822976</v>
      </c>
      <c r="W18" s="135">
        <v>2022</v>
      </c>
      <c r="X18" s="28" t="e">
        <f>+#REF!-'[1]Приложение №1'!$P553</f>
        <v>#REF!</v>
      </c>
      <c r="Z18" s="27">
        <f t="shared" ref="Z18:Z28" si="6">SUM(AA18:AO18)</f>
        <v>55434949.75906302</v>
      </c>
      <c r="AA18" s="26">
        <v>13084371.274765186</v>
      </c>
      <c r="AB18" s="26">
        <v>6792071.8799999999</v>
      </c>
      <c r="AC18" s="26"/>
      <c r="AD18" s="26">
        <v>2807007.18</v>
      </c>
      <c r="AE18" s="26">
        <v>0</v>
      </c>
      <c r="AF18" s="26"/>
      <c r="AG18" s="26">
        <v>422606.15206366888</v>
      </c>
      <c r="AH18" s="26">
        <v>0</v>
      </c>
      <c r="AI18" s="26">
        <v>18902393.048395503</v>
      </c>
      <c r="AJ18" s="26">
        <v>8467593.2400000002</v>
      </c>
      <c r="AK18" s="26">
        <v>0</v>
      </c>
      <c r="AL18" s="26">
        <v>0</v>
      </c>
      <c r="AM18" s="26">
        <v>3733539.2883253875</v>
      </c>
      <c r="AN18" s="26">
        <v>375954.61581589025</v>
      </c>
      <c r="AO18" s="29">
        <v>849413.07969738182</v>
      </c>
      <c r="AP18" s="77">
        <f>+N18-'Приложение №2'!E18</f>
        <v>0</v>
      </c>
      <c r="AQ18" s="1">
        <v>2359832.7200000002</v>
      </c>
      <c r="AR18" s="1">
        <f t="shared" ref="AR18:AR27" si="7">+(K18*10+L18*20)*12*0.85</f>
        <v>483541.2</v>
      </c>
      <c r="AS18" s="1">
        <f t="shared" ref="AS18:AS26" si="8">+(K18*10+L18*20)*12*30</f>
        <v>17066160</v>
      </c>
      <c r="AT18" s="28">
        <f t="shared" ref="AT18:AT78" si="9">+S18-AS18</f>
        <v>4053688.4800000004</v>
      </c>
    </row>
    <row r="19" spans="1:46" x14ac:dyDescent="0.25">
      <c r="A19" s="72">
        <f t="shared" ref="A19:A82" si="10">+A18+1</f>
        <v>2</v>
      </c>
      <c r="B19" s="73">
        <f t="shared" ref="B19:B82" si="11">+B18+1</f>
        <v>2</v>
      </c>
      <c r="C19" s="73" t="s">
        <v>49</v>
      </c>
      <c r="D19" s="120" t="s">
        <v>262</v>
      </c>
      <c r="E19" s="121">
        <v>1982</v>
      </c>
      <c r="F19" s="121">
        <v>2011</v>
      </c>
      <c r="G19" s="121" t="s">
        <v>43</v>
      </c>
      <c r="H19" s="121">
        <v>5</v>
      </c>
      <c r="I19" s="121">
        <v>6</v>
      </c>
      <c r="J19" s="107">
        <v>4657</v>
      </c>
      <c r="K19" s="107">
        <v>4657</v>
      </c>
      <c r="L19" s="107">
        <v>0</v>
      </c>
      <c r="M19" s="122">
        <v>172</v>
      </c>
      <c r="N19" s="133">
        <f t="shared" si="3"/>
        <v>34138401.5</v>
      </c>
      <c r="O19" s="134"/>
      <c r="P19" s="107">
        <v>4521209.8100000015</v>
      </c>
      <c r="Q19" s="107">
        <v>1000000</v>
      </c>
      <c r="R19" s="107">
        <f>+AQ19+AR19</f>
        <v>2932021.84</v>
      </c>
      <c r="S19" s="107">
        <f>+AS19</f>
        <v>16765200</v>
      </c>
      <c r="T19" s="107">
        <f>+'Приложение №2'!E19-'Приложение №1'!P19-'Приложение №1'!Q19-'Приложение №1'!R19-'Приложение №1'!S19</f>
        <v>8919969.8499999978</v>
      </c>
      <c r="U19" s="107">
        <f t="shared" si="5"/>
        <v>7330.5564741249727</v>
      </c>
      <c r="V19" s="107">
        <f t="shared" si="5"/>
        <v>7330.5564741249727</v>
      </c>
      <c r="W19" s="135">
        <v>2022</v>
      </c>
      <c r="X19" s="28" t="e">
        <f>+#REF!-'[1]Приложение №1'!$P554</f>
        <v>#REF!</v>
      </c>
      <c r="Z19" s="27">
        <f t="shared" si="6"/>
        <v>55631222.155761994</v>
      </c>
      <c r="AA19" s="26">
        <v>13087181.552321568</v>
      </c>
      <c r="AB19" s="26">
        <v>6304509.4247438349</v>
      </c>
      <c r="AC19" s="26"/>
      <c r="AD19" s="26">
        <v>2789523</v>
      </c>
      <c r="AE19" s="26">
        <v>0</v>
      </c>
      <c r="AF19" s="26"/>
      <c r="AG19" s="26">
        <v>422696.91993928124</v>
      </c>
      <c r="AH19" s="26">
        <v>0</v>
      </c>
      <c r="AI19" s="26">
        <v>18906452.927913617</v>
      </c>
      <c r="AJ19" s="26">
        <v>8471863.8000000007</v>
      </c>
      <c r="AK19" s="26">
        <v>0</v>
      </c>
      <c r="AL19" s="26">
        <v>0</v>
      </c>
      <c r="AM19" s="26">
        <v>4266399.7839222131</v>
      </c>
      <c r="AN19" s="26">
        <v>445086.13631034014</v>
      </c>
      <c r="AO19" s="29">
        <v>937508.61061115132</v>
      </c>
      <c r="AP19" s="77">
        <f>+N19-'Приложение №2'!E19</f>
        <v>0</v>
      </c>
      <c r="AQ19" s="1">
        <v>2457007.84</v>
      </c>
      <c r="AR19" s="1">
        <f t="shared" si="7"/>
        <v>475014</v>
      </c>
      <c r="AS19" s="1">
        <f t="shared" si="8"/>
        <v>16765200</v>
      </c>
      <c r="AT19" s="28">
        <f t="shared" si="9"/>
        <v>0</v>
      </c>
    </row>
    <row r="20" spans="1:46" x14ac:dyDescent="0.25">
      <c r="A20" s="72">
        <f t="shared" si="10"/>
        <v>3</v>
      </c>
      <c r="B20" s="73">
        <f t="shared" si="11"/>
        <v>3</v>
      </c>
      <c r="C20" s="73" t="s">
        <v>49</v>
      </c>
      <c r="D20" s="120" t="s">
        <v>263</v>
      </c>
      <c r="E20" s="121">
        <v>1983</v>
      </c>
      <c r="F20" s="121">
        <v>2011</v>
      </c>
      <c r="G20" s="121" t="s">
        <v>43</v>
      </c>
      <c r="H20" s="121">
        <v>5</v>
      </c>
      <c r="I20" s="121">
        <v>4</v>
      </c>
      <c r="J20" s="107">
        <v>3725.7</v>
      </c>
      <c r="K20" s="107">
        <v>3170.6</v>
      </c>
      <c r="L20" s="107">
        <v>0</v>
      </c>
      <c r="M20" s="122">
        <v>120</v>
      </c>
      <c r="N20" s="123">
        <f t="shared" si="3"/>
        <v>21804481.706755411</v>
      </c>
      <c r="O20" s="134"/>
      <c r="P20" s="108">
        <f>2891231.49+1297400.88</f>
        <v>4188632.37</v>
      </c>
      <c r="Q20" s="108">
        <v>0</v>
      </c>
      <c r="R20" s="108">
        <f>+AQ20+AR20</f>
        <v>1877886.64</v>
      </c>
      <c r="S20" s="108">
        <f>+AS20</f>
        <v>11414160</v>
      </c>
      <c r="T20" s="107">
        <f>+'Приложение №2'!E20-'Приложение №1'!P20-'Приложение №1'!Q20-'Приложение №1'!R20-'Приложение №1'!S20</f>
        <v>4323802.696755413</v>
      </c>
      <c r="U20" s="108">
        <f t="shared" si="5"/>
        <v>6877.0837402243778</v>
      </c>
      <c r="V20" s="108">
        <f t="shared" si="5"/>
        <v>6877.0837402243778</v>
      </c>
      <c r="W20" s="135">
        <v>2022</v>
      </c>
      <c r="X20" s="28" t="e">
        <f>+#REF!-'[1]Приложение №1'!$P555</f>
        <v>#REF!</v>
      </c>
      <c r="Z20" s="30">
        <f t="shared" si="6"/>
        <v>17332985.384287372</v>
      </c>
      <c r="AA20" s="26">
        <v>8910266.0202690158</v>
      </c>
      <c r="AB20" s="26">
        <v>4292357.0577192558</v>
      </c>
      <c r="AC20" s="26"/>
      <c r="AD20" s="26">
        <v>1766460.1357282575</v>
      </c>
      <c r="AE20" s="26">
        <v>0</v>
      </c>
      <c r="AF20" s="26"/>
      <c r="AG20" s="26">
        <v>287788.6264166045</v>
      </c>
      <c r="AH20" s="26">
        <v>0</v>
      </c>
      <c r="AI20" s="26">
        <v>0</v>
      </c>
      <c r="AJ20" s="26"/>
      <c r="AK20" s="26">
        <v>0</v>
      </c>
      <c r="AL20" s="26">
        <v>0</v>
      </c>
      <c r="AM20" s="26">
        <v>1569146.8035559531</v>
      </c>
      <c r="AN20" s="31">
        <v>173329.85384287377</v>
      </c>
      <c r="AO20" s="32">
        <v>333636.88675541501</v>
      </c>
      <c r="AP20" s="77">
        <f>+N20-'Приложение №2'!E20</f>
        <v>0</v>
      </c>
      <c r="AQ20" s="1">
        <v>1554485.44</v>
      </c>
      <c r="AR20" s="1">
        <f t="shared" si="7"/>
        <v>323401.2</v>
      </c>
      <c r="AS20" s="1">
        <f t="shared" si="8"/>
        <v>11414160</v>
      </c>
      <c r="AT20" s="28">
        <f t="shared" si="9"/>
        <v>0</v>
      </c>
    </row>
    <row r="21" spans="1:46" x14ac:dyDescent="0.25">
      <c r="A21" s="72">
        <f t="shared" si="10"/>
        <v>4</v>
      </c>
      <c r="B21" s="73">
        <f t="shared" si="11"/>
        <v>4</v>
      </c>
      <c r="C21" s="73" t="s">
        <v>70</v>
      </c>
      <c r="D21" s="120" t="s">
        <v>265</v>
      </c>
      <c r="E21" s="121">
        <v>1995</v>
      </c>
      <c r="F21" s="121">
        <v>2013</v>
      </c>
      <c r="G21" s="121" t="s">
        <v>43</v>
      </c>
      <c r="H21" s="121">
        <v>3</v>
      </c>
      <c r="I21" s="121">
        <v>4</v>
      </c>
      <c r="J21" s="107">
        <v>2740.5</v>
      </c>
      <c r="K21" s="107">
        <v>1849.2</v>
      </c>
      <c r="L21" s="107">
        <v>0</v>
      </c>
      <c r="M21" s="122">
        <v>67</v>
      </c>
      <c r="N21" s="123">
        <f t="shared" si="3"/>
        <v>6683521.8589600008</v>
      </c>
      <c r="O21" s="107"/>
      <c r="P21" s="108"/>
      <c r="Q21" s="108"/>
      <c r="R21" s="108">
        <f>+AQ21+AR21</f>
        <v>1097135.0899999999</v>
      </c>
      <c r="S21" s="108">
        <f>+'Приложение №2'!E21-'Приложение №1'!P21-'Приложение №1'!Q21-'Приложение №1'!R21</f>
        <v>5586386.7689600009</v>
      </c>
      <c r="T21" s="107">
        <f>+'Приложение №2'!E21-'Приложение №1'!P21-'Приложение №1'!Q21-'Приложение №1'!R21-'Приложение №1'!S21</f>
        <v>0</v>
      </c>
      <c r="U21" s="108">
        <f t="shared" si="5"/>
        <v>3614.2774491455766</v>
      </c>
      <c r="V21" s="108">
        <f t="shared" si="5"/>
        <v>3614.2774491455766</v>
      </c>
      <c r="W21" s="135">
        <v>2022</v>
      </c>
      <c r="X21" s="28" t="e">
        <f>+#REF!-'[1]Приложение №1'!$P909</f>
        <v>#REF!</v>
      </c>
      <c r="Z21" s="30">
        <f t="shared" si="6"/>
        <v>17794596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/>
      <c r="AG21" s="26">
        <v>0</v>
      </c>
      <c r="AH21" s="26">
        <v>0</v>
      </c>
      <c r="AI21" s="26">
        <v>15672412.481039999</v>
      </c>
      <c r="AJ21" s="26">
        <v>0</v>
      </c>
      <c r="AK21" s="26">
        <v>0</v>
      </c>
      <c r="AL21" s="26">
        <v>0</v>
      </c>
      <c r="AM21" s="26">
        <v>1601513.64</v>
      </c>
      <c r="AN21" s="31">
        <v>177945.96</v>
      </c>
      <c r="AO21" s="32">
        <v>342723.91895999998</v>
      </c>
      <c r="AP21" s="77">
        <f>+N21-'Приложение №2'!E21</f>
        <v>0</v>
      </c>
      <c r="AQ21" s="33">
        <v>908516.69</v>
      </c>
      <c r="AR21" s="1">
        <f t="shared" si="7"/>
        <v>188618.4</v>
      </c>
      <c r="AS21" s="1">
        <f t="shared" si="8"/>
        <v>6657120</v>
      </c>
      <c r="AT21" s="28">
        <f t="shared" si="9"/>
        <v>-1070733.2310399991</v>
      </c>
    </row>
    <row r="22" spans="1:46" x14ac:dyDescent="0.25">
      <c r="A22" s="72">
        <f t="shared" si="10"/>
        <v>5</v>
      </c>
      <c r="B22" s="73">
        <f t="shared" si="11"/>
        <v>5</v>
      </c>
      <c r="C22" s="73" t="s">
        <v>70</v>
      </c>
      <c r="D22" s="120" t="s">
        <v>266</v>
      </c>
      <c r="E22" s="121">
        <v>1994</v>
      </c>
      <c r="F22" s="121">
        <v>2013</v>
      </c>
      <c r="G22" s="121" t="s">
        <v>43</v>
      </c>
      <c r="H22" s="121">
        <v>3</v>
      </c>
      <c r="I22" s="121">
        <v>2</v>
      </c>
      <c r="J22" s="107">
        <v>1781.6</v>
      </c>
      <c r="K22" s="107">
        <v>1210.5999999999999</v>
      </c>
      <c r="L22" s="107">
        <v>0</v>
      </c>
      <c r="M22" s="122">
        <v>67</v>
      </c>
      <c r="N22" s="123">
        <f t="shared" si="3"/>
        <v>1380495.8153303184</v>
      </c>
      <c r="O22" s="107"/>
      <c r="P22" s="108"/>
      <c r="Q22" s="108"/>
      <c r="R22" s="108">
        <v>428000.15</v>
      </c>
      <c r="S22" s="108">
        <f>+'Приложение №2'!E22-'Приложение №1'!P22-'Приложение №1'!Q22-'Приложение №1'!R22</f>
        <v>952495.66533031838</v>
      </c>
      <c r="T22" s="107">
        <f>+'Приложение №2'!E22-'Приложение №1'!P22-'Приложение №1'!Q22-'Приложение №1'!R22-'Приложение №1'!S22</f>
        <v>0</v>
      </c>
      <c r="U22" s="108">
        <f t="shared" si="5"/>
        <v>1140.3401745665938</v>
      </c>
      <c r="V22" s="108">
        <f t="shared" si="5"/>
        <v>1140.3401745665938</v>
      </c>
      <c r="W22" s="135">
        <v>2022</v>
      </c>
      <c r="X22" s="28" t="e">
        <f>+#REF!-'[1]Приложение №1'!$P910</f>
        <v>#REF!</v>
      </c>
      <c r="Z22" s="30">
        <f t="shared" si="6"/>
        <v>5516150.6245547542</v>
      </c>
      <c r="AA22" s="26">
        <v>4565756.2689250316</v>
      </c>
      <c r="AB22" s="26">
        <v>0</v>
      </c>
      <c r="AC22" s="26">
        <v>0</v>
      </c>
      <c r="AD22" s="26">
        <v>0</v>
      </c>
      <c r="AE22" s="26">
        <v>0</v>
      </c>
      <c r="AF22" s="26"/>
      <c r="AG22" s="26">
        <v>373174.61155392334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414053.82249993231</v>
      </c>
      <c r="AN22" s="31">
        <v>55161.506245547534</v>
      </c>
      <c r="AO22" s="32">
        <v>108004.41533031844</v>
      </c>
      <c r="AP22" s="77">
        <f>+N22-'Приложение №2'!E22</f>
        <v>0</v>
      </c>
      <c r="AQ22" s="33">
        <v>581248.32999999996</v>
      </c>
      <c r="AR22" s="1">
        <f t="shared" si="7"/>
        <v>123481.2</v>
      </c>
      <c r="AS22" s="1">
        <f t="shared" si="8"/>
        <v>4358160</v>
      </c>
      <c r="AT22" s="28">
        <f t="shared" si="9"/>
        <v>-3405664.3346696817</v>
      </c>
    </row>
    <row r="23" spans="1:46" x14ac:dyDescent="0.25">
      <c r="A23" s="72">
        <f t="shared" si="10"/>
        <v>6</v>
      </c>
      <c r="B23" s="73">
        <f t="shared" si="11"/>
        <v>6</v>
      </c>
      <c r="C23" s="73" t="s">
        <v>70</v>
      </c>
      <c r="D23" s="120" t="s">
        <v>267</v>
      </c>
      <c r="E23" s="121">
        <v>1993</v>
      </c>
      <c r="F23" s="121">
        <v>2013</v>
      </c>
      <c r="G23" s="121" t="s">
        <v>43</v>
      </c>
      <c r="H23" s="121">
        <v>2</v>
      </c>
      <c r="I23" s="121">
        <v>0</v>
      </c>
      <c r="J23" s="107">
        <v>868.3</v>
      </c>
      <c r="K23" s="107">
        <v>868.3</v>
      </c>
      <c r="L23" s="107">
        <v>0</v>
      </c>
      <c r="M23" s="122">
        <v>31</v>
      </c>
      <c r="N23" s="123">
        <f t="shared" si="3"/>
        <v>2472986.52</v>
      </c>
      <c r="O23" s="107"/>
      <c r="P23" s="109"/>
      <c r="Q23" s="108"/>
      <c r="R23" s="108">
        <f>+AQ23+AR23</f>
        <v>505278.45999999996</v>
      </c>
      <c r="S23" s="108">
        <f>+'Приложение №2'!E23-'Приложение №1'!P23-'Приложение №1'!R23</f>
        <v>1967708.06</v>
      </c>
      <c r="T23" s="107">
        <f>+'Приложение №2'!E23-'Приложение №1'!P23-'Приложение №1'!Q23-'Приложение №1'!R23-'Приложение №1'!S23</f>
        <v>0</v>
      </c>
      <c r="U23" s="108">
        <f t="shared" si="5"/>
        <v>2848.0784521478754</v>
      </c>
      <c r="V23" s="108">
        <f t="shared" si="5"/>
        <v>2848.0784521478754</v>
      </c>
      <c r="W23" s="135">
        <v>2022</v>
      </c>
      <c r="X23" s="28" t="e">
        <f>+#REF!-'[1]Приложение №1'!$P911</f>
        <v>#REF!</v>
      </c>
      <c r="Z23" s="30">
        <f t="shared" si="6"/>
        <v>3949769.5149232973</v>
      </c>
      <c r="AA23" s="26">
        <v>3597070.04</v>
      </c>
      <c r="AB23" s="26">
        <v>0</v>
      </c>
      <c r="AC23" s="26">
        <v>0</v>
      </c>
      <c r="AD23" s="26">
        <v>0</v>
      </c>
      <c r="AE23" s="26">
        <v>0</v>
      </c>
      <c r="AF23" s="26"/>
      <c r="AG23" s="26">
        <v>269001.86492329749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28876.78</v>
      </c>
      <c r="AN23" s="31">
        <v>10000</v>
      </c>
      <c r="AO23" s="32">
        <v>44820.83</v>
      </c>
      <c r="AP23" s="77">
        <f>+N23-'Приложение №2'!E23</f>
        <v>0</v>
      </c>
      <c r="AQ23" s="33">
        <v>416711.86</v>
      </c>
      <c r="AR23" s="1">
        <f t="shared" si="7"/>
        <v>88566.599999999991</v>
      </c>
      <c r="AS23" s="1">
        <f t="shared" si="8"/>
        <v>3125880</v>
      </c>
      <c r="AT23" s="28">
        <f t="shared" si="9"/>
        <v>-1158171.94</v>
      </c>
    </row>
    <row r="24" spans="1:46" x14ac:dyDescent="0.25">
      <c r="A24" s="72">
        <f t="shared" si="10"/>
        <v>7</v>
      </c>
      <c r="B24" s="73">
        <f t="shared" si="11"/>
        <v>7</v>
      </c>
      <c r="C24" s="73" t="s">
        <v>50</v>
      </c>
      <c r="D24" s="120" t="s">
        <v>269</v>
      </c>
      <c r="E24" s="121">
        <v>1993</v>
      </c>
      <c r="F24" s="121">
        <v>2012</v>
      </c>
      <c r="G24" s="121" t="s">
        <v>43</v>
      </c>
      <c r="H24" s="121">
        <v>3</v>
      </c>
      <c r="I24" s="121">
        <v>1</v>
      </c>
      <c r="J24" s="107">
        <v>1090</v>
      </c>
      <c r="K24" s="107">
        <v>942.47</v>
      </c>
      <c r="L24" s="107">
        <v>0</v>
      </c>
      <c r="M24" s="122">
        <v>33</v>
      </c>
      <c r="N24" s="123">
        <f t="shared" si="3"/>
        <v>113078.26467698808</v>
      </c>
      <c r="O24" s="134"/>
      <c r="P24" s="108"/>
      <c r="Q24" s="108"/>
      <c r="R24" s="108">
        <f>+'Приложение №2'!E24</f>
        <v>113078.26467698808</v>
      </c>
      <c r="S24" s="108">
        <f>+'Приложение №2'!E24-'Приложение №1'!R24</f>
        <v>0</v>
      </c>
      <c r="T24" s="107">
        <f>+'Приложение №2'!E24-'Приложение №1'!P24-'Приложение №1'!Q24-'Приложение №1'!R24-'Приложение №1'!S24</f>
        <v>0</v>
      </c>
      <c r="U24" s="108">
        <f t="shared" si="5"/>
        <v>119.98075766548334</v>
      </c>
      <c r="V24" s="108">
        <f t="shared" si="5"/>
        <v>119.98075766548334</v>
      </c>
      <c r="W24" s="135">
        <v>2022</v>
      </c>
      <c r="X24" s="28" t="e">
        <f>+#REF!-'[1]Приложение №1'!$P556</f>
        <v>#REF!</v>
      </c>
      <c r="Z24" s="30">
        <f t="shared" si="6"/>
        <v>1353938.3335296002</v>
      </c>
      <c r="AA24" s="26">
        <v>0</v>
      </c>
      <c r="AB24" s="26">
        <v>0</v>
      </c>
      <c r="AC24" s="26">
        <v>766834.98031195218</v>
      </c>
      <c r="AD24" s="26">
        <v>398482.47555609996</v>
      </c>
      <c r="AE24" s="26">
        <v>0</v>
      </c>
      <c r="AF24" s="26"/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149598.36173318402</v>
      </c>
      <c r="AN24" s="31">
        <v>13539.383335296003</v>
      </c>
      <c r="AO24" s="32">
        <v>25483.132593067974</v>
      </c>
      <c r="AP24" s="77">
        <f>+N24-'Приложение №2'!E24</f>
        <v>0</v>
      </c>
      <c r="AQ24" s="1">
        <v>502001.62</v>
      </c>
      <c r="AR24" s="1">
        <f t="shared" si="7"/>
        <v>96131.94</v>
      </c>
      <c r="AS24" s="1">
        <f t="shared" si="8"/>
        <v>3392892.0000000005</v>
      </c>
      <c r="AT24" s="28">
        <f t="shared" si="9"/>
        <v>-3392892.0000000005</v>
      </c>
    </row>
    <row r="25" spans="1:46" x14ac:dyDescent="0.25">
      <c r="A25" s="72">
        <f t="shared" si="10"/>
        <v>8</v>
      </c>
      <c r="B25" s="73">
        <f t="shared" si="11"/>
        <v>8</v>
      </c>
      <c r="C25" s="73" t="s">
        <v>50</v>
      </c>
      <c r="D25" s="120" t="s">
        <v>270</v>
      </c>
      <c r="E25" s="121">
        <v>1990</v>
      </c>
      <c r="F25" s="121">
        <v>1990</v>
      </c>
      <c r="G25" s="121" t="s">
        <v>43</v>
      </c>
      <c r="H25" s="121">
        <v>5</v>
      </c>
      <c r="I25" s="121">
        <v>6</v>
      </c>
      <c r="J25" s="107">
        <v>5208.7</v>
      </c>
      <c r="K25" s="107">
        <v>4621.34</v>
      </c>
      <c r="L25" s="107">
        <v>0</v>
      </c>
      <c r="M25" s="122">
        <v>157</v>
      </c>
      <c r="N25" s="123">
        <f t="shared" si="3"/>
        <v>5366313.5354361599</v>
      </c>
      <c r="O25" s="107"/>
      <c r="P25" s="108"/>
      <c r="Q25" s="108"/>
      <c r="R25" s="108">
        <v>1998629.62</v>
      </c>
      <c r="S25" s="108">
        <f>+'Приложение №2'!E25-'Приложение №1'!R25</f>
        <v>3367683.9154361598</v>
      </c>
      <c r="T25" s="107">
        <f>+'Приложение №2'!E25-'Приложение №1'!P25-'Приложение №1'!Q25-'Приложение №1'!R25-'Приложение №1'!S25</f>
        <v>0</v>
      </c>
      <c r="U25" s="108">
        <f t="shared" si="5"/>
        <v>1161.2029271674794</v>
      </c>
      <c r="V25" s="108">
        <f t="shared" si="5"/>
        <v>1161.2029271674794</v>
      </c>
      <c r="W25" s="135">
        <v>2022</v>
      </c>
      <c r="X25" s="28" t="e">
        <f>+#REF!-'[1]Приложение №1'!$P1317</f>
        <v>#REF!</v>
      </c>
      <c r="Z25" s="30">
        <f t="shared" si="6"/>
        <v>24135948.530553602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/>
      <c r="AG25" s="26">
        <v>0</v>
      </c>
      <c r="AH25" s="26">
        <v>0</v>
      </c>
      <c r="AI25" s="26">
        <v>0</v>
      </c>
      <c r="AJ25" s="26">
        <v>7798620.4989638412</v>
      </c>
      <c r="AK25" s="26">
        <v>9725868.7576821167</v>
      </c>
      <c r="AL25" s="26">
        <v>3496811.6598338219</v>
      </c>
      <c r="AM25" s="26">
        <v>2413594.8530553603</v>
      </c>
      <c r="AN25" s="31">
        <v>241359.48530553601</v>
      </c>
      <c r="AO25" s="32">
        <v>459693.27571292385</v>
      </c>
      <c r="AP25" s="77">
        <f>+N25-'Приложение №2'!E25</f>
        <v>0</v>
      </c>
      <c r="AQ25" s="1">
        <v>2233749.27</v>
      </c>
      <c r="AR25" s="1">
        <f t="shared" si="7"/>
        <v>471376.68000000005</v>
      </c>
      <c r="AS25" s="1">
        <f t="shared" si="8"/>
        <v>16636824.000000002</v>
      </c>
      <c r="AT25" s="28">
        <f t="shared" si="9"/>
        <v>-13269140.084563842</v>
      </c>
    </row>
    <row r="26" spans="1:46" x14ac:dyDescent="0.25">
      <c r="A26" s="72">
        <f t="shared" si="10"/>
        <v>9</v>
      </c>
      <c r="B26" s="73">
        <f t="shared" si="11"/>
        <v>9</v>
      </c>
      <c r="C26" s="73" t="s">
        <v>50</v>
      </c>
      <c r="D26" s="120" t="s">
        <v>271</v>
      </c>
      <c r="E26" s="121">
        <v>1985</v>
      </c>
      <c r="F26" s="121">
        <v>1985</v>
      </c>
      <c r="G26" s="121" t="s">
        <v>43</v>
      </c>
      <c r="H26" s="121">
        <v>4</v>
      </c>
      <c r="I26" s="121">
        <v>2</v>
      </c>
      <c r="J26" s="107">
        <v>1511.1</v>
      </c>
      <c r="K26" s="107">
        <v>1366.85</v>
      </c>
      <c r="L26" s="107">
        <v>0</v>
      </c>
      <c r="M26" s="122">
        <v>62</v>
      </c>
      <c r="N26" s="123">
        <f t="shared" si="3"/>
        <v>3697130.3492353396</v>
      </c>
      <c r="O26" s="107"/>
      <c r="P26" s="108"/>
      <c r="Q26" s="108"/>
      <c r="R26" s="108">
        <v>399040.08999999997</v>
      </c>
      <c r="S26" s="108">
        <f>+'Приложение №2'!E26-'Приложение №1'!R26-T26</f>
        <v>3206331.2592353397</v>
      </c>
      <c r="T26" s="107">
        <v>91759</v>
      </c>
      <c r="U26" s="108">
        <f t="shared" si="5"/>
        <v>2704.8544823757834</v>
      </c>
      <c r="V26" s="108">
        <f t="shared" si="5"/>
        <v>2704.8544823757834</v>
      </c>
      <c r="W26" s="135">
        <v>2022</v>
      </c>
      <c r="X26" s="28" t="e">
        <f>+#REF!-'[1]Приложение №1'!$P404</f>
        <v>#REF!</v>
      </c>
      <c r="Z26" s="30">
        <f t="shared" si="6"/>
        <v>7089248.6021132804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/>
      <c r="AG26" s="26">
        <v>0</v>
      </c>
      <c r="AH26" s="26">
        <v>0</v>
      </c>
      <c r="AI26" s="26">
        <v>0</v>
      </c>
      <c r="AJ26" s="26">
        <v>2448913.4700000002</v>
      </c>
      <c r="AK26" s="26">
        <v>3110879.85</v>
      </c>
      <c r="AL26" s="26">
        <v>1036083.9228779406</v>
      </c>
      <c r="AM26" s="26">
        <v>392917.04065692797</v>
      </c>
      <c r="AN26" s="31">
        <v>18562.626065692799</v>
      </c>
      <c r="AO26" s="32">
        <v>81891.69251271851</v>
      </c>
      <c r="AP26" s="77">
        <f>+N26-'Приложение №2'!E26</f>
        <v>0</v>
      </c>
      <c r="AQ26" s="1">
        <v>593500.14</v>
      </c>
      <c r="AR26" s="1">
        <f t="shared" si="7"/>
        <v>139418.69999999998</v>
      </c>
      <c r="AS26" s="1">
        <f t="shared" si="8"/>
        <v>4920660</v>
      </c>
      <c r="AT26" s="28">
        <f t="shared" si="9"/>
        <v>-1714328.7407646603</v>
      </c>
    </row>
    <row r="27" spans="1:46" x14ac:dyDescent="0.25">
      <c r="A27" s="72">
        <f t="shared" si="10"/>
        <v>10</v>
      </c>
      <c r="B27" s="73">
        <f t="shared" si="11"/>
        <v>10</v>
      </c>
      <c r="C27" s="73" t="s">
        <v>81</v>
      </c>
      <c r="D27" s="120" t="s">
        <v>276</v>
      </c>
      <c r="E27" s="121">
        <v>1991</v>
      </c>
      <c r="F27" s="121">
        <v>1992</v>
      </c>
      <c r="G27" s="121" t="s">
        <v>83</v>
      </c>
      <c r="H27" s="121">
        <v>5</v>
      </c>
      <c r="I27" s="121">
        <v>6</v>
      </c>
      <c r="J27" s="107">
        <v>5213.3</v>
      </c>
      <c r="K27" s="107">
        <v>4504.3999999999996</v>
      </c>
      <c r="L27" s="107">
        <v>150</v>
      </c>
      <c r="M27" s="122">
        <v>215</v>
      </c>
      <c r="N27" s="123">
        <f t="shared" si="3"/>
        <v>3712081.5291589973</v>
      </c>
      <c r="O27" s="107"/>
      <c r="P27" s="108"/>
      <c r="Q27" s="108"/>
      <c r="R27" s="108">
        <v>458250.55</v>
      </c>
      <c r="S27" s="108">
        <f>+'Приложение №2'!E27-'Приложение №1'!R27</f>
        <v>3253830.9791589975</v>
      </c>
      <c r="T27" s="107">
        <f>+'Приложение №2'!E27-'Приложение №1'!P27-'Приложение №1'!Q27-'Приложение №1'!R27-'Приложение №1'!S27</f>
        <v>0</v>
      </c>
      <c r="U27" s="108">
        <f t="shared" si="5"/>
        <v>797.54243923147942</v>
      </c>
      <c r="V27" s="108">
        <f t="shared" si="5"/>
        <v>797.54243923147942</v>
      </c>
      <c r="W27" s="135">
        <v>2022</v>
      </c>
      <c r="X27" s="28" t="e">
        <f>+#REF!-'[1]Приложение №1'!$P1324</f>
        <v>#REF!</v>
      </c>
      <c r="Z27" s="30">
        <f t="shared" si="6"/>
        <v>22984871.147637237</v>
      </c>
      <c r="AA27" s="26">
        <v>8923099.0413838681</v>
      </c>
      <c r="AB27" s="26">
        <v>3819284.0558351283</v>
      </c>
      <c r="AC27" s="26">
        <v>3409399.7983082924</v>
      </c>
      <c r="AD27" s="26">
        <v>3601025.7724938672</v>
      </c>
      <c r="AE27" s="26">
        <v>0</v>
      </c>
      <c r="AF27" s="26"/>
      <c r="AG27" s="26">
        <v>370474.89045708859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2191683.422796627</v>
      </c>
      <c r="AN27" s="31">
        <v>229848.71147637241</v>
      </c>
      <c r="AO27" s="32">
        <v>440055.45488599484</v>
      </c>
      <c r="AP27" s="77">
        <f>+N27-'Приложение №2'!E27</f>
        <v>0</v>
      </c>
      <c r="AQ27" s="1">
        <f>2134189.71-1374751.67</f>
        <v>759438.04</v>
      </c>
      <c r="AR27" s="1">
        <f t="shared" si="7"/>
        <v>490048.8</v>
      </c>
      <c r="AS27" s="1">
        <f>+(K27*10+L27*20)*12*30-2680584.06</f>
        <v>14615255.939999999</v>
      </c>
      <c r="AT27" s="28">
        <f t="shared" si="9"/>
        <v>-11361424.960841002</v>
      </c>
    </row>
    <row r="28" spans="1:46" x14ac:dyDescent="0.25">
      <c r="A28" s="72">
        <f t="shared" si="10"/>
        <v>11</v>
      </c>
      <c r="B28" s="73">
        <f t="shared" si="11"/>
        <v>11</v>
      </c>
      <c r="C28" s="73" t="s">
        <v>81</v>
      </c>
      <c r="D28" s="120" t="s">
        <v>277</v>
      </c>
      <c r="E28" s="121">
        <v>1996</v>
      </c>
      <c r="F28" s="121">
        <v>1996</v>
      </c>
      <c r="G28" s="121" t="s">
        <v>83</v>
      </c>
      <c r="H28" s="121">
        <v>9</v>
      </c>
      <c r="I28" s="121">
        <v>2</v>
      </c>
      <c r="J28" s="107">
        <v>5868.8</v>
      </c>
      <c r="K28" s="107">
        <v>4891.1000000000004</v>
      </c>
      <c r="L28" s="107">
        <v>103.4</v>
      </c>
      <c r="M28" s="122">
        <v>176</v>
      </c>
      <c r="N28" s="123">
        <f t="shared" si="3"/>
        <v>6156349.6058218479</v>
      </c>
      <c r="O28" s="107"/>
      <c r="P28" s="108">
        <v>0</v>
      </c>
      <c r="Q28" s="108"/>
      <c r="R28" s="108">
        <v>2916099.9</v>
      </c>
      <c r="S28" s="108">
        <f>+'Приложение №2'!E28-'Приложение №1'!R28</f>
        <v>3240249.705821848</v>
      </c>
      <c r="T28" s="107">
        <f>+'Приложение №2'!E28-'Приложение №1'!P28-'Приложение №1'!Q28-'Приложение №1'!R28-'Приложение №1'!S28</f>
        <v>0</v>
      </c>
      <c r="U28" s="108">
        <f t="shared" si="5"/>
        <v>1232.6258095548799</v>
      </c>
      <c r="V28" s="108">
        <f t="shared" si="5"/>
        <v>1232.6258095548799</v>
      </c>
      <c r="W28" s="135">
        <v>2022</v>
      </c>
      <c r="X28" s="28" t="e">
        <f>+#REF!-'[1]Приложение №1'!$P1325</f>
        <v>#REF!</v>
      </c>
      <c r="Z28" s="30">
        <f t="shared" si="6"/>
        <v>26916272.679462254</v>
      </c>
      <c r="AA28" s="26">
        <v>11954408.568709729</v>
      </c>
      <c r="AB28" s="26">
        <v>4782903.5702124871</v>
      </c>
      <c r="AC28" s="26">
        <v>3532642.5089277923</v>
      </c>
      <c r="AD28" s="26">
        <v>2257520.5141524919</v>
      </c>
      <c r="AE28" s="26">
        <v>0</v>
      </c>
      <c r="AF28" s="26"/>
      <c r="AG28" s="26">
        <v>531117.68749178003</v>
      </c>
      <c r="AH28" s="26">
        <v>0</v>
      </c>
      <c r="AI28" s="26"/>
      <c r="AJ28" s="26">
        <v>0</v>
      </c>
      <c r="AK28" s="26">
        <v>0</v>
      </c>
      <c r="AL28" s="26">
        <v>0</v>
      </c>
      <c r="AM28" s="26">
        <v>2917548.1015033424</v>
      </c>
      <c r="AN28" s="31">
        <v>321479.91337035975</v>
      </c>
      <c r="AO28" s="32">
        <v>618651.81509427261</v>
      </c>
      <c r="AP28" s="77">
        <f>+N28-'Приложение №2'!E28</f>
        <v>0</v>
      </c>
      <c r="AQ28" s="1">
        <f>3041149.84-317048.16</f>
        <v>2724101.6799999997</v>
      </c>
      <c r="AR28" s="1">
        <f>+(K28*13.29+L28*22.52)*12*0.85</f>
        <v>686779.12739999988</v>
      </c>
      <c r="AS28" s="1">
        <f>+(K28*13.29+L28*22.52)*12*30-2665031.47</f>
        <v>21574231.849999998</v>
      </c>
      <c r="AT28" s="28">
        <f t="shared" si="9"/>
        <v>-18333982.144178148</v>
      </c>
    </row>
    <row r="29" spans="1:46" x14ac:dyDescent="0.25">
      <c r="A29" s="72">
        <f t="shared" si="10"/>
        <v>12</v>
      </c>
      <c r="B29" s="73">
        <f t="shared" si="11"/>
        <v>12</v>
      </c>
      <c r="C29" s="73" t="s">
        <v>82</v>
      </c>
      <c r="D29" s="120" t="s">
        <v>278</v>
      </c>
      <c r="E29" s="121">
        <v>1986</v>
      </c>
      <c r="F29" s="121">
        <v>2016</v>
      </c>
      <c r="G29" s="121" t="s">
        <v>83</v>
      </c>
      <c r="H29" s="121">
        <v>9</v>
      </c>
      <c r="I29" s="121">
        <v>1</v>
      </c>
      <c r="J29" s="107">
        <v>3158.3</v>
      </c>
      <c r="K29" s="107">
        <v>2706.55</v>
      </c>
      <c r="L29" s="107">
        <v>0</v>
      </c>
      <c r="M29" s="122">
        <v>111</v>
      </c>
      <c r="N29" s="123">
        <f t="shared" ref="N29:N57" si="12">+P29+Q29+R29+S29+T29</f>
        <v>13036215.770000001</v>
      </c>
      <c r="O29" s="107"/>
      <c r="P29" s="110">
        <v>12411219.705962</v>
      </c>
      <c r="Q29" s="110"/>
      <c r="R29" s="110">
        <v>624996.06000000006</v>
      </c>
      <c r="S29" s="108"/>
      <c r="T29" s="107">
        <f>+'Приложение №2'!E29-'Приложение №1'!P29-'Приложение №1'!Q29-'Приложение №1'!R29-'Приложение №1'!S29</f>
        <v>4.0380009450018406E-3</v>
      </c>
      <c r="U29" s="108">
        <f t="shared" ref="U29:V40" si="13">$N29/($K29+$L29)</f>
        <v>4816.5434852487488</v>
      </c>
      <c r="V29" s="108">
        <f t="shared" si="13"/>
        <v>4816.5434852487488</v>
      </c>
      <c r="W29" s="135">
        <v>2022</v>
      </c>
      <c r="X29" s="28" t="e">
        <f>+#REF!-'[1]Приложение №1'!#REF!</f>
        <v>#REF!</v>
      </c>
      <c r="Z29" s="30">
        <f t="shared" ref="Z29:Z48" si="14">SUM(AA29:AO29)</f>
        <v>13982972.132639855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/>
      <c r="AG29" s="26">
        <v>0</v>
      </c>
      <c r="AH29" s="26">
        <v>0</v>
      </c>
      <c r="AI29" s="26">
        <v>2807713.831463424</v>
      </c>
      <c r="AJ29" s="26">
        <v>0</v>
      </c>
      <c r="AK29" s="26">
        <v>9402008.4996973816</v>
      </c>
      <c r="AL29" s="26">
        <v>0</v>
      </c>
      <c r="AM29" s="26">
        <v>1366418.1816375868</v>
      </c>
      <c r="AN29" s="31">
        <v>139829.72132639855</v>
      </c>
      <c r="AO29" s="32">
        <v>267001.89851506357</v>
      </c>
      <c r="AP29" s="77">
        <f>+N29-'Приложение №2'!E29</f>
        <v>0</v>
      </c>
      <c r="AR29" s="1">
        <f>+(K29*13.29+L29*22.52)*12*0.85</f>
        <v>366894.5049</v>
      </c>
      <c r="AT29" s="28"/>
    </row>
    <row r="30" spans="1:46" x14ac:dyDescent="0.25">
      <c r="A30" s="72">
        <f t="shared" si="10"/>
        <v>13</v>
      </c>
      <c r="B30" s="73">
        <f t="shared" si="11"/>
        <v>13</v>
      </c>
      <c r="C30" s="73" t="s">
        <v>81</v>
      </c>
      <c r="D30" s="120" t="s">
        <v>279</v>
      </c>
      <c r="E30" s="121">
        <v>1990</v>
      </c>
      <c r="F30" s="121">
        <v>2017</v>
      </c>
      <c r="G30" s="121" t="s">
        <v>83</v>
      </c>
      <c r="H30" s="121">
        <v>10</v>
      </c>
      <c r="I30" s="121">
        <v>3</v>
      </c>
      <c r="J30" s="107">
        <v>10664.8</v>
      </c>
      <c r="K30" s="107">
        <v>8965.7000000000007</v>
      </c>
      <c r="L30" s="107">
        <v>241.2</v>
      </c>
      <c r="M30" s="122">
        <v>365</v>
      </c>
      <c r="N30" s="123">
        <f t="shared" si="12"/>
        <v>947792.52460360434</v>
      </c>
      <c r="O30" s="107"/>
      <c r="P30" s="108"/>
      <c r="Q30" s="108"/>
      <c r="R30" s="108">
        <v>529034.98</v>
      </c>
      <c r="S30" s="108">
        <f>+'Приложение №2'!E30-'Приложение №1'!P30-'Приложение №1'!Q30-'Приложение №1'!R30</f>
        <v>418757.54460360436</v>
      </c>
      <c r="T30" s="107">
        <f>+'Приложение №2'!E30-'Приложение №1'!P30-'Приложение №1'!Q30-'Приложение №1'!R30-'Приложение №1'!S30</f>
        <v>0</v>
      </c>
      <c r="U30" s="108">
        <f t="shared" si="13"/>
        <v>102.94371879824959</v>
      </c>
      <c r="V30" s="108">
        <f t="shared" si="13"/>
        <v>102.94371879824959</v>
      </c>
      <c r="W30" s="135">
        <v>2022</v>
      </c>
      <c r="X30" s="28" t="e">
        <f>+#REF!-'[1]Приложение №1'!$P919</f>
        <v>#REF!</v>
      </c>
      <c r="Z30" s="30">
        <f t="shared" si="14"/>
        <v>17451465.54755237</v>
      </c>
      <c r="AA30" s="26"/>
      <c r="AB30" s="26"/>
      <c r="AC30" s="26">
        <v>6509638.5673844106</v>
      </c>
      <c r="AD30" s="26">
        <v>4159957.4733218304</v>
      </c>
      <c r="AE30" s="26">
        <v>0</v>
      </c>
      <c r="AF30" s="26"/>
      <c r="AG30" s="26">
        <v>978696.30838074186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4391061.0735815065</v>
      </c>
      <c r="AN30" s="31">
        <v>482934.91690454783</v>
      </c>
      <c r="AO30" s="32">
        <v>929177.20797933068</v>
      </c>
      <c r="AP30" s="77">
        <f>+N30-'Приложение №2'!E30</f>
        <v>0</v>
      </c>
      <c r="AQ30" s="1">
        <v>6040448.1299999999</v>
      </c>
      <c r="AR30" s="1">
        <f>+(K30*13.29+L30*22.52)*12*0.85</f>
        <v>1270776.9653999999</v>
      </c>
      <c r="AS30" s="1">
        <f>+(K30*13.29+L30*22.52)*12*30-11155353.44</f>
        <v>33695598.280000001</v>
      </c>
      <c r="AT30" s="28">
        <f t="shared" si="9"/>
        <v>-33276840.735396396</v>
      </c>
    </row>
    <row r="31" spans="1:46" x14ac:dyDescent="0.25">
      <c r="A31" s="72">
        <f t="shared" si="10"/>
        <v>14</v>
      </c>
      <c r="B31" s="73">
        <f t="shared" si="11"/>
        <v>14</v>
      </c>
      <c r="C31" s="73" t="s">
        <v>81</v>
      </c>
      <c r="D31" s="120" t="s">
        <v>280</v>
      </c>
      <c r="E31" s="121">
        <v>1990</v>
      </c>
      <c r="F31" s="121">
        <v>2017</v>
      </c>
      <c r="G31" s="121" t="s">
        <v>83</v>
      </c>
      <c r="H31" s="121">
        <v>9</v>
      </c>
      <c r="I31" s="121">
        <v>1</v>
      </c>
      <c r="J31" s="107">
        <v>4531.3</v>
      </c>
      <c r="K31" s="107">
        <v>3818.4</v>
      </c>
      <c r="L31" s="107">
        <v>61.2</v>
      </c>
      <c r="M31" s="122">
        <v>144</v>
      </c>
      <c r="N31" s="123">
        <f t="shared" si="12"/>
        <v>3204810.5757265971</v>
      </c>
      <c r="O31" s="107"/>
      <c r="P31" s="108">
        <v>339282.04</v>
      </c>
      <c r="Q31" s="108"/>
      <c r="R31" s="108">
        <f>+'Приложение №2'!E31-'Приложение №1'!S31-P31</f>
        <v>120075.01572659711</v>
      </c>
      <c r="S31" s="108">
        <v>2745453.52</v>
      </c>
      <c r="T31" s="107">
        <f>+'Приложение №2'!E31-'Приложение №1'!P31-'Приложение №1'!Q31-'Приложение №1'!R31-'Приложение №1'!S31</f>
        <v>0</v>
      </c>
      <c r="U31" s="108">
        <f t="shared" si="13"/>
        <v>826.06726872012507</v>
      </c>
      <c r="V31" s="108">
        <f t="shared" si="13"/>
        <v>826.06726872012507</v>
      </c>
      <c r="W31" s="135">
        <v>2022</v>
      </c>
      <c r="X31" s="28" t="e">
        <f>+#REF!-'[1]Приложение №1'!$P921</f>
        <v>#REF!</v>
      </c>
      <c r="Z31" s="30">
        <f t="shared" si="14"/>
        <v>27882965.040892042</v>
      </c>
      <c r="AA31" s="26">
        <v>9323379.5626275707</v>
      </c>
      <c r="AB31" s="26">
        <v>3730241.0353664667</v>
      </c>
      <c r="AC31" s="26">
        <v>2755148.176549369</v>
      </c>
      <c r="AD31" s="26">
        <v>1760665.9922058834</v>
      </c>
      <c r="AE31" s="26">
        <v>0</v>
      </c>
      <c r="AF31" s="26"/>
      <c r="AG31" s="26">
        <v>414224.74097732303</v>
      </c>
      <c r="AH31" s="26">
        <v>0</v>
      </c>
      <c r="AI31" s="26">
        <v>0</v>
      </c>
      <c r="AJ31" s="26">
        <v>6482652.3339526588</v>
      </c>
      <c r="AK31" s="26">
        <v>0</v>
      </c>
      <c r="AL31" s="26">
        <v>0</v>
      </c>
      <c r="AM31" s="26">
        <v>2602794.861483254</v>
      </c>
      <c r="AN31" s="31">
        <v>278829.65040892042</v>
      </c>
      <c r="AO31" s="32">
        <v>535028.68732059724</v>
      </c>
      <c r="AP31" s="77">
        <f>+N31-'Приложение №2'!E31</f>
        <v>0</v>
      </c>
      <c r="AQ31" s="1">
        <f>2472188.7-'[2]Приложение №1'!$R$83</f>
        <v>1031818.0268000001</v>
      </c>
      <c r="AR31" s="1">
        <f>+(K31*13.29+L31*22.52)*12*0.85</f>
        <v>531672.55200000003</v>
      </c>
      <c r="AS31" s="1">
        <f>+(K31*13.29+L31*22.52)*12*30-'[2]Приложение №1'!$S$83</f>
        <v>18512253.773200002</v>
      </c>
      <c r="AT31" s="28">
        <f t="shared" si="9"/>
        <v>-15766800.253200002</v>
      </c>
    </row>
    <row r="32" spans="1:46" x14ac:dyDescent="0.25">
      <c r="A32" s="72">
        <f t="shared" si="10"/>
        <v>15</v>
      </c>
      <c r="B32" s="73">
        <f t="shared" si="11"/>
        <v>15</v>
      </c>
      <c r="C32" s="73" t="s">
        <v>81</v>
      </c>
      <c r="D32" s="120" t="s">
        <v>281</v>
      </c>
      <c r="E32" s="121">
        <v>1988</v>
      </c>
      <c r="F32" s="121">
        <v>2016</v>
      </c>
      <c r="G32" s="121" t="s">
        <v>83</v>
      </c>
      <c r="H32" s="121">
        <v>5</v>
      </c>
      <c r="I32" s="121">
        <v>2</v>
      </c>
      <c r="J32" s="107">
        <v>4465.5</v>
      </c>
      <c r="K32" s="107">
        <v>2945.85</v>
      </c>
      <c r="L32" s="107">
        <v>451.6</v>
      </c>
      <c r="M32" s="122">
        <v>169</v>
      </c>
      <c r="N32" s="123">
        <f t="shared" si="12"/>
        <v>7091508.1283725407</v>
      </c>
      <c r="O32" s="107"/>
      <c r="P32" s="108"/>
      <c r="Q32" s="108"/>
      <c r="R32" s="108">
        <f>+AQ32+AR32-46238.97</f>
        <v>2137034.25</v>
      </c>
      <c r="S32" s="108">
        <v>3849733.41</v>
      </c>
      <c r="T32" s="107">
        <f>+'Приложение №2'!E32-'Приложение №1'!P32-'Приложение №1'!Q32-'Приложение №1'!R32-'Приложение №1'!S32</f>
        <v>1104740.4683725405</v>
      </c>
      <c r="U32" s="108">
        <f t="shared" si="13"/>
        <v>2087.3031621870937</v>
      </c>
      <c r="V32" s="108">
        <f t="shared" si="13"/>
        <v>2087.3031621870937</v>
      </c>
      <c r="W32" s="135">
        <v>2022</v>
      </c>
      <c r="X32" s="28" t="e">
        <f>+#REF!-'[1]Приложение №1'!$P927</f>
        <v>#REF!</v>
      </c>
      <c r="Z32" s="30">
        <f t="shared" si="14"/>
        <v>40635058.08237657</v>
      </c>
      <c r="AA32" s="26">
        <v>7511049.4806612218</v>
      </c>
      <c r="AB32" s="26">
        <v>3214895.5638655713</v>
      </c>
      <c r="AC32" s="26">
        <v>0</v>
      </c>
      <c r="AD32" s="26">
        <v>3031175.8989669341</v>
      </c>
      <c r="AE32" s="26">
        <v>0</v>
      </c>
      <c r="AF32" s="26"/>
      <c r="AG32" s="26">
        <v>311848.52041429107</v>
      </c>
      <c r="AH32" s="26">
        <v>0</v>
      </c>
      <c r="AI32" s="26">
        <v>0</v>
      </c>
      <c r="AJ32" s="26">
        <v>5678337.1610445483</v>
      </c>
      <c r="AK32" s="26">
        <v>15731938.21837358</v>
      </c>
      <c r="AL32" s="26">
        <v>0</v>
      </c>
      <c r="AM32" s="26">
        <v>3973603.431119387</v>
      </c>
      <c r="AN32" s="31">
        <v>406350.58082376578</v>
      </c>
      <c r="AO32" s="32">
        <v>775859.22710727528</v>
      </c>
      <c r="AP32" s="77">
        <f>+N32-'Приложение №2'!E32</f>
        <v>0</v>
      </c>
      <c r="AQ32" s="1">
        <v>1790670.12</v>
      </c>
      <c r="AR32" s="1">
        <f>+(K32*10+L32*20)*12*0.85</f>
        <v>392603.1</v>
      </c>
      <c r="AS32" s="1">
        <f>+(K32*10+L32*20)*12*30</f>
        <v>13856580</v>
      </c>
      <c r="AT32" s="28">
        <f t="shared" si="9"/>
        <v>-10006846.59</v>
      </c>
    </row>
    <row r="33" spans="1:46" x14ac:dyDescent="0.25">
      <c r="A33" s="72">
        <f t="shared" si="10"/>
        <v>16</v>
      </c>
      <c r="B33" s="73">
        <f t="shared" si="11"/>
        <v>16</v>
      </c>
      <c r="C33" s="73" t="s">
        <v>82</v>
      </c>
      <c r="D33" s="120" t="s">
        <v>282</v>
      </c>
      <c r="E33" s="121">
        <v>1985</v>
      </c>
      <c r="F33" s="121">
        <v>2011</v>
      </c>
      <c r="G33" s="121" t="s">
        <v>83</v>
      </c>
      <c r="H33" s="121">
        <v>5</v>
      </c>
      <c r="I33" s="121">
        <v>12</v>
      </c>
      <c r="J33" s="107">
        <v>12985.9</v>
      </c>
      <c r="K33" s="107">
        <v>10520.9</v>
      </c>
      <c r="L33" s="107">
        <v>299.10000000000002</v>
      </c>
      <c r="M33" s="122">
        <v>439</v>
      </c>
      <c r="N33" s="123">
        <f t="shared" si="12"/>
        <v>50879011.909999996</v>
      </c>
      <c r="O33" s="107"/>
      <c r="P33" s="110">
        <v>44003584.140000001</v>
      </c>
      <c r="Q33" s="110"/>
      <c r="R33" s="110">
        <v>6875427.7699999996</v>
      </c>
      <c r="S33" s="108"/>
      <c r="T33" s="107">
        <v>0</v>
      </c>
      <c r="U33" s="108">
        <f t="shared" si="13"/>
        <v>4702.3116367837338</v>
      </c>
      <c r="V33" s="108">
        <f t="shared" si="13"/>
        <v>4702.3116367837338</v>
      </c>
      <c r="W33" s="135">
        <v>2022</v>
      </c>
      <c r="X33" s="28" t="e">
        <f>+#REF!-'[1]Приложение №1'!#REF!</f>
        <v>#REF!</v>
      </c>
      <c r="Z33" s="30">
        <f t="shared" si="14"/>
        <v>68774286.83345294</v>
      </c>
      <c r="AA33" s="26">
        <v>0</v>
      </c>
      <c r="AB33" s="26">
        <v>0</v>
      </c>
      <c r="AC33" s="26">
        <v>0</v>
      </c>
      <c r="AD33" s="26">
        <v>8603725.4971600696</v>
      </c>
      <c r="AE33" s="26">
        <v>0</v>
      </c>
      <c r="AF33" s="26"/>
      <c r="AG33" s="26">
        <v>0</v>
      </c>
      <c r="AH33" s="26">
        <v>0</v>
      </c>
      <c r="AI33" s="26">
        <v>35269812.250870951</v>
      </c>
      <c r="AJ33" s="26">
        <v>16117459.310296344</v>
      </c>
      <c r="AK33" s="26">
        <v>0</v>
      </c>
      <c r="AL33" s="26">
        <v>0</v>
      </c>
      <c r="AM33" s="26">
        <v>6783665.3034309298</v>
      </c>
      <c r="AN33" s="31">
        <v>687742.86833452946</v>
      </c>
      <c r="AO33" s="32">
        <v>1311881.6033601121</v>
      </c>
      <c r="AP33" s="77">
        <f>+N33-'Приложение №2'!E33</f>
        <v>0</v>
      </c>
      <c r="AR33" s="1">
        <f>+(K33*10+L33*20)*12*0.85</f>
        <v>1134148.2</v>
      </c>
      <c r="AT33" s="28"/>
    </row>
    <row r="34" spans="1:46" x14ac:dyDescent="0.25">
      <c r="A34" s="72">
        <f t="shared" si="10"/>
        <v>17</v>
      </c>
      <c r="B34" s="73">
        <f t="shared" si="11"/>
        <v>17</v>
      </c>
      <c r="C34" s="73" t="s">
        <v>81</v>
      </c>
      <c r="D34" s="120" t="s">
        <v>283</v>
      </c>
      <c r="E34" s="121">
        <v>1981</v>
      </c>
      <c r="F34" s="121">
        <v>2016</v>
      </c>
      <c r="G34" s="121" t="s">
        <v>43</v>
      </c>
      <c r="H34" s="121">
        <v>4</v>
      </c>
      <c r="I34" s="121">
        <v>3</v>
      </c>
      <c r="J34" s="107">
        <v>3910.2</v>
      </c>
      <c r="K34" s="107">
        <v>2017.9</v>
      </c>
      <c r="L34" s="107">
        <v>997.9</v>
      </c>
      <c r="M34" s="122">
        <v>113</v>
      </c>
      <c r="N34" s="123">
        <f t="shared" si="12"/>
        <v>10558217.996456141</v>
      </c>
      <c r="O34" s="107"/>
      <c r="P34" s="108"/>
      <c r="Q34" s="108"/>
      <c r="R34" s="108">
        <f>+AQ34+AR34-557135.78</f>
        <v>806677.09999999986</v>
      </c>
      <c r="S34" s="108">
        <f>+'Приложение №2'!E34-'Приложение №1'!P34-'Приложение №1'!Q34-'Приложение №1'!R34</f>
        <v>9751540.896456141</v>
      </c>
      <c r="T34" s="107">
        <f>+'Приложение №2'!E34-'Приложение №1'!P34-'Приложение №1'!Q34-'Приложение №1'!R34-'Приложение №1'!S34</f>
        <v>0</v>
      </c>
      <c r="U34" s="108">
        <f t="shared" si="13"/>
        <v>3500.9675696187214</v>
      </c>
      <c r="V34" s="108">
        <f t="shared" si="13"/>
        <v>3500.9675696187214</v>
      </c>
      <c r="W34" s="135">
        <v>2022</v>
      </c>
      <c r="X34" s="28" t="e">
        <f>+#REF!-'[1]Приложение №1'!$P1338</f>
        <v>#REF!</v>
      </c>
      <c r="Z34" s="30">
        <f t="shared" si="14"/>
        <v>33549604.466355495</v>
      </c>
      <c r="AA34" s="26">
        <v>9163753.0558547936</v>
      </c>
      <c r="AB34" s="26">
        <v>4716823.2</v>
      </c>
      <c r="AC34" s="26">
        <v>2695930.7316036122</v>
      </c>
      <c r="AD34" s="26">
        <v>0</v>
      </c>
      <c r="AE34" s="26">
        <v>0</v>
      </c>
      <c r="AF34" s="26"/>
      <c r="AG34" s="26">
        <v>295975.88879684091</v>
      </c>
      <c r="AH34" s="26">
        <v>0</v>
      </c>
      <c r="AI34" s="26">
        <v>13238455.132672109</v>
      </c>
      <c r="AJ34" s="26">
        <v>0</v>
      </c>
      <c r="AK34" s="26">
        <v>0</v>
      </c>
      <c r="AL34" s="26">
        <v>0</v>
      </c>
      <c r="AM34" s="26">
        <v>2552926.0485136751</v>
      </c>
      <c r="AN34" s="31">
        <v>295470.26754077495</v>
      </c>
      <c r="AO34" s="32">
        <v>590270.14137369313</v>
      </c>
      <c r="AP34" s="77">
        <f>+N34-'Приложение №2'!E34</f>
        <v>0</v>
      </c>
      <c r="AQ34" s="1">
        <v>954415.48</v>
      </c>
      <c r="AR34" s="1">
        <f>+(K34*10+L34*20)*12*0.85</f>
        <v>409397.39999999997</v>
      </c>
      <c r="AS34" s="1">
        <f>+(K34*10+L34*20)*12*30</f>
        <v>14449320</v>
      </c>
      <c r="AT34" s="28">
        <f t="shared" si="9"/>
        <v>-4697779.103543859</v>
      </c>
    </row>
    <row r="35" spans="1:46" x14ac:dyDescent="0.25">
      <c r="A35" s="72">
        <f t="shared" si="10"/>
        <v>18</v>
      </c>
      <c r="B35" s="73">
        <f t="shared" si="11"/>
        <v>18</v>
      </c>
      <c r="C35" s="73" t="s">
        <v>81</v>
      </c>
      <c r="D35" s="120" t="s">
        <v>284</v>
      </c>
      <c r="E35" s="121">
        <v>1990</v>
      </c>
      <c r="F35" s="121">
        <v>2017</v>
      </c>
      <c r="G35" s="121" t="s">
        <v>83</v>
      </c>
      <c r="H35" s="121">
        <v>10</v>
      </c>
      <c r="I35" s="121">
        <v>3</v>
      </c>
      <c r="J35" s="107">
        <v>9593.2999999999993</v>
      </c>
      <c r="K35" s="107">
        <v>8146.5</v>
      </c>
      <c r="L35" s="107">
        <v>251.7</v>
      </c>
      <c r="M35" s="122">
        <v>290</v>
      </c>
      <c r="N35" s="123">
        <f t="shared" si="12"/>
        <v>11881010.632439215</v>
      </c>
      <c r="O35" s="107"/>
      <c r="P35" s="108">
        <v>4826750.29</v>
      </c>
      <c r="Q35" s="108"/>
      <c r="R35" s="108">
        <f>+'Приложение №2'!E35-'Приложение №1'!S35-P35</f>
        <v>554751.74243921507</v>
      </c>
      <c r="S35" s="108">
        <v>6499508.5999999996</v>
      </c>
      <c r="T35" s="107">
        <f>+'Приложение №2'!E35-'Приложение №1'!P35-'Приложение №1'!Q35-'Приложение №1'!R35-'Приложение №1'!S35</f>
        <v>0</v>
      </c>
      <c r="U35" s="108">
        <f t="shared" si="13"/>
        <v>1414.7091796384004</v>
      </c>
      <c r="V35" s="108">
        <f t="shared" si="13"/>
        <v>1414.7091796384004</v>
      </c>
      <c r="W35" s="135">
        <v>2022</v>
      </c>
      <c r="X35" s="28" t="e">
        <f>+#REF!-'[1]Приложение №1'!$P943</f>
        <v>#REF!</v>
      </c>
      <c r="Z35" s="30">
        <f t="shared" si="14"/>
        <v>59075280.940424494</v>
      </c>
      <c r="AA35" s="26">
        <v>19753324.876629226</v>
      </c>
      <c r="AB35" s="26">
        <v>7903213.9091590643</v>
      </c>
      <c r="AC35" s="26">
        <v>5837297.1570079876</v>
      </c>
      <c r="AD35" s="26">
        <v>3730300.4891794757</v>
      </c>
      <c r="AE35" s="26">
        <v>0</v>
      </c>
      <c r="AF35" s="26"/>
      <c r="AG35" s="26">
        <v>877612.65381291229</v>
      </c>
      <c r="AH35" s="26">
        <v>0</v>
      </c>
      <c r="AI35" s="26">
        <v>0</v>
      </c>
      <c r="AJ35" s="26">
        <v>13734712.477877133</v>
      </c>
      <c r="AK35" s="26">
        <v>0</v>
      </c>
      <c r="AL35" s="26">
        <v>0</v>
      </c>
      <c r="AM35" s="26">
        <v>5514508.1395367021</v>
      </c>
      <c r="AN35" s="31">
        <v>590752.809404245</v>
      </c>
      <c r="AO35" s="32">
        <v>1133558.4278177479</v>
      </c>
      <c r="AP35" s="77">
        <f>+N35-'Приложение №2'!E35</f>
        <v>0</v>
      </c>
      <c r="AQ35" s="1">
        <v>5009993.34</v>
      </c>
      <c r="AR35" s="1">
        <f t="shared" ref="AR35:AR41" si="15">+(K35*13.29+L35*22.52)*12*0.85</f>
        <v>1162139.7437999998</v>
      </c>
      <c r="AS35" s="1">
        <f t="shared" ref="AS35:AS40" si="16">+(K35*13.29+L35*22.52)*12*30</f>
        <v>41016696.839999996</v>
      </c>
      <c r="AT35" s="28">
        <f t="shared" si="9"/>
        <v>-34517188.239999995</v>
      </c>
    </row>
    <row r="36" spans="1:46" x14ac:dyDescent="0.25">
      <c r="A36" s="72">
        <f t="shared" si="10"/>
        <v>19</v>
      </c>
      <c r="B36" s="73">
        <f t="shared" si="11"/>
        <v>19</v>
      </c>
      <c r="C36" s="73" t="s">
        <v>81</v>
      </c>
      <c r="D36" s="120" t="s">
        <v>285</v>
      </c>
      <c r="E36" s="121">
        <v>1990</v>
      </c>
      <c r="F36" s="121">
        <v>2017</v>
      </c>
      <c r="G36" s="121" t="s">
        <v>83</v>
      </c>
      <c r="H36" s="121">
        <v>9</v>
      </c>
      <c r="I36" s="121">
        <v>2</v>
      </c>
      <c r="J36" s="107">
        <v>9044.7000000000007</v>
      </c>
      <c r="K36" s="107">
        <v>7731.7</v>
      </c>
      <c r="L36" s="107">
        <v>0</v>
      </c>
      <c r="M36" s="122">
        <v>294</v>
      </c>
      <c r="N36" s="123">
        <f t="shared" si="12"/>
        <v>13275635.754342195</v>
      </c>
      <c r="O36" s="107"/>
      <c r="P36" s="108">
        <f>4393109.2-[3]Лист1!$I$8</f>
        <v>0</v>
      </c>
      <c r="Q36" s="108"/>
      <c r="R36" s="108">
        <f>+'Приложение №2'!E36-'Приложение №1'!S36-P36</f>
        <v>9626752.0343421958</v>
      </c>
      <c r="S36" s="108">
        <v>3648883.7199999997</v>
      </c>
      <c r="T36" s="107">
        <f>+'Приложение №2'!E36-'Приложение №1'!P36-'Приложение №1'!Q36-'Приложение №1'!R36-'Приложение №1'!S36</f>
        <v>0</v>
      </c>
      <c r="U36" s="108">
        <f t="shared" si="13"/>
        <v>1717.0396878231431</v>
      </c>
      <c r="V36" s="108">
        <f t="shared" si="13"/>
        <v>1717.0396878231431</v>
      </c>
      <c r="W36" s="135">
        <v>2022</v>
      </c>
      <c r="X36" s="28" t="e">
        <f>+#REF!-'[1]Приложение №1'!$P944</f>
        <v>#REF!</v>
      </c>
      <c r="Z36" s="30">
        <f t="shared" si="14"/>
        <v>55666319.910854891</v>
      </c>
      <c r="AA36" s="26">
        <v>18613451.927455012</v>
      </c>
      <c r="AB36" s="26">
        <v>7447156.0149639342</v>
      </c>
      <c r="AC36" s="26">
        <v>5500453.7563591562</v>
      </c>
      <c r="AD36" s="26">
        <v>3515042.1138698198</v>
      </c>
      <c r="AE36" s="26">
        <v>0</v>
      </c>
      <c r="AF36" s="26"/>
      <c r="AG36" s="26">
        <v>826969.68964449025</v>
      </c>
      <c r="AH36" s="26">
        <v>0</v>
      </c>
      <c r="AI36" s="26">
        <v>0</v>
      </c>
      <c r="AJ36" s="26">
        <v>12942145.792724269</v>
      </c>
      <c r="AK36" s="26">
        <v>0</v>
      </c>
      <c r="AL36" s="26">
        <v>0</v>
      </c>
      <c r="AM36" s="26">
        <v>5196291.3990376946</v>
      </c>
      <c r="AN36" s="31">
        <v>556663.19910854893</v>
      </c>
      <c r="AO36" s="32">
        <v>1068146.0176919652</v>
      </c>
      <c r="AP36" s="77">
        <f>+N36-'Приложение №2'!E36</f>
        <v>0</v>
      </c>
      <c r="AQ36" s="1">
        <v>4614966.51</v>
      </c>
      <c r="AR36" s="1">
        <f t="shared" si="15"/>
        <v>1048093.7885999999</v>
      </c>
      <c r="AS36" s="1">
        <f t="shared" si="16"/>
        <v>36991545.479999997</v>
      </c>
      <c r="AT36" s="28">
        <f t="shared" si="9"/>
        <v>-33342661.759999998</v>
      </c>
    </row>
    <row r="37" spans="1:46" x14ac:dyDescent="0.25">
      <c r="A37" s="72">
        <f t="shared" si="10"/>
        <v>20</v>
      </c>
      <c r="B37" s="73">
        <f t="shared" si="11"/>
        <v>20</v>
      </c>
      <c r="C37" s="73" t="s">
        <v>81</v>
      </c>
      <c r="D37" s="120" t="s">
        <v>286</v>
      </c>
      <c r="E37" s="121">
        <v>1990</v>
      </c>
      <c r="F37" s="121">
        <v>2017</v>
      </c>
      <c r="G37" s="121" t="s">
        <v>83</v>
      </c>
      <c r="H37" s="121">
        <v>9</v>
      </c>
      <c r="I37" s="121">
        <v>1</v>
      </c>
      <c r="J37" s="107">
        <v>4527.8</v>
      </c>
      <c r="K37" s="107">
        <v>3876.4</v>
      </c>
      <c r="L37" s="107">
        <v>0</v>
      </c>
      <c r="M37" s="122">
        <v>153</v>
      </c>
      <c r="N37" s="123">
        <f t="shared" si="12"/>
        <v>5240799.8242184632</v>
      </c>
      <c r="O37" s="107"/>
      <c r="P37" s="108">
        <v>54608.390000000014</v>
      </c>
      <c r="Q37" s="108"/>
      <c r="R37" s="108">
        <f>+'Приложение №2'!E37-'Приложение №1'!P37-'Приложение №1'!S37</f>
        <v>1459981.2542184633</v>
      </c>
      <c r="S37" s="108">
        <v>3726210.18</v>
      </c>
      <c r="T37" s="107">
        <f>+'Приложение №2'!E37-'Приложение №1'!P37-'Приложение №1'!Q37-'Приложение №1'!R37-'Приложение №1'!S37</f>
        <v>0</v>
      </c>
      <c r="U37" s="108">
        <f t="shared" si="13"/>
        <v>1351.9760149155049</v>
      </c>
      <c r="V37" s="108">
        <f t="shared" si="13"/>
        <v>1351.9760149155049</v>
      </c>
      <c r="W37" s="135">
        <v>2022</v>
      </c>
      <c r="X37" s="28" t="e">
        <f>+#REF!-'[1]Приложение №1'!$P945</f>
        <v>#REF!</v>
      </c>
      <c r="Z37" s="30">
        <f t="shared" si="14"/>
        <v>27786937.969636556</v>
      </c>
      <c r="AA37" s="26">
        <v>9291270.4654677343</v>
      </c>
      <c r="AB37" s="26">
        <v>3717394.3341215332</v>
      </c>
      <c r="AC37" s="26">
        <v>2745659.6300522191</v>
      </c>
      <c r="AD37" s="26">
        <v>1754602.3759999776</v>
      </c>
      <c r="AE37" s="26">
        <v>0</v>
      </c>
      <c r="AF37" s="26"/>
      <c r="AG37" s="26">
        <v>412798.17860638152</v>
      </c>
      <c r="AH37" s="26">
        <v>0</v>
      </c>
      <c r="AI37" s="26">
        <v>0</v>
      </c>
      <c r="AJ37" s="26">
        <v>6460326.5118356757</v>
      </c>
      <c r="AK37" s="26">
        <v>0</v>
      </c>
      <c r="AL37" s="26">
        <v>0</v>
      </c>
      <c r="AM37" s="26">
        <v>2593831.0096382117</v>
      </c>
      <c r="AN37" s="31">
        <v>277869.37969636562</v>
      </c>
      <c r="AO37" s="32">
        <v>533186.08421846246</v>
      </c>
      <c r="AP37" s="77">
        <f>+N37-'Приложение №2'!E37</f>
        <v>0</v>
      </c>
      <c r="AQ37" s="1">
        <v>2413836.61</v>
      </c>
      <c r="AR37" s="1">
        <f t="shared" si="15"/>
        <v>525477.03119999997</v>
      </c>
      <c r="AS37" s="1">
        <f t="shared" si="16"/>
        <v>18546248.16</v>
      </c>
      <c r="AT37" s="28">
        <f t="shared" si="9"/>
        <v>-14820037.98</v>
      </c>
    </row>
    <row r="38" spans="1:46" x14ac:dyDescent="0.25">
      <c r="A38" s="72">
        <f t="shared" si="10"/>
        <v>21</v>
      </c>
      <c r="B38" s="73">
        <f t="shared" si="11"/>
        <v>21</v>
      </c>
      <c r="C38" s="73" t="s">
        <v>81</v>
      </c>
      <c r="D38" s="120" t="s">
        <v>287</v>
      </c>
      <c r="E38" s="121">
        <v>1990</v>
      </c>
      <c r="F38" s="121">
        <v>2017</v>
      </c>
      <c r="G38" s="121" t="s">
        <v>83</v>
      </c>
      <c r="H38" s="121">
        <v>10</v>
      </c>
      <c r="I38" s="121">
        <v>1</v>
      </c>
      <c r="J38" s="107">
        <v>3578</v>
      </c>
      <c r="K38" s="107">
        <v>3065.8</v>
      </c>
      <c r="L38" s="107">
        <v>0</v>
      </c>
      <c r="M38" s="122">
        <v>111</v>
      </c>
      <c r="N38" s="123">
        <f t="shared" si="12"/>
        <v>1569633.6837197063</v>
      </c>
      <c r="O38" s="107"/>
      <c r="P38" s="108"/>
      <c r="Q38" s="108"/>
      <c r="R38" s="108">
        <f>+'Приложение №2'!E38-'Приложение №1'!S38-P38</f>
        <v>64322.793719706358</v>
      </c>
      <c r="S38" s="108">
        <v>1505310.89</v>
      </c>
      <c r="T38" s="107">
        <f>+'Приложение №2'!E38-'Приложение №1'!P38-'Приложение №1'!Q38-'Приложение №1'!R38-'Приложение №1'!S38</f>
        <v>0</v>
      </c>
      <c r="U38" s="108">
        <f t="shared" si="13"/>
        <v>511.98176127591694</v>
      </c>
      <c r="V38" s="108">
        <f t="shared" si="13"/>
        <v>511.98176127591694</v>
      </c>
      <c r="W38" s="135">
        <v>2022</v>
      </c>
      <c r="X38" s="28" t="e">
        <f>+#REF!-'[1]Приложение №1'!$P946</f>
        <v>#REF!</v>
      </c>
      <c r="Z38" s="30">
        <f t="shared" si="14"/>
        <v>16117442.631482774</v>
      </c>
      <c r="AA38" s="26">
        <v>7351785.1489623599</v>
      </c>
      <c r="AB38" s="26">
        <v>2941415.2305656415</v>
      </c>
      <c r="AC38" s="26">
        <v>2172523.0976049546</v>
      </c>
      <c r="AD38" s="26">
        <v>1388341.8568163847</v>
      </c>
      <c r="AE38" s="26">
        <v>0</v>
      </c>
      <c r="AF38" s="26"/>
      <c r="AG38" s="26">
        <v>326629.55300638021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1465470.2417960668</v>
      </c>
      <c r="AN38" s="31">
        <v>161174.42631482772</v>
      </c>
      <c r="AO38" s="32">
        <v>310103.07641615823</v>
      </c>
      <c r="AP38" s="77">
        <f>+N38-'Приложение №2'!E38</f>
        <v>0</v>
      </c>
      <c r="AQ38" s="1">
        <v>2001885.98</v>
      </c>
      <c r="AR38" s="1">
        <f t="shared" si="15"/>
        <v>415593.71639999998</v>
      </c>
      <c r="AS38" s="1">
        <f t="shared" si="16"/>
        <v>14668013.52</v>
      </c>
      <c r="AT38" s="28">
        <f t="shared" si="9"/>
        <v>-13162702.629999999</v>
      </c>
    </row>
    <row r="39" spans="1:46" x14ac:dyDescent="0.25">
      <c r="A39" s="72">
        <f t="shared" si="10"/>
        <v>22</v>
      </c>
      <c r="B39" s="73">
        <f t="shared" si="11"/>
        <v>22</v>
      </c>
      <c r="C39" s="73" t="s">
        <v>81</v>
      </c>
      <c r="D39" s="120" t="s">
        <v>288</v>
      </c>
      <c r="E39" s="121">
        <v>1990</v>
      </c>
      <c r="F39" s="121">
        <v>2017</v>
      </c>
      <c r="G39" s="121" t="s">
        <v>83</v>
      </c>
      <c r="H39" s="121">
        <v>10</v>
      </c>
      <c r="I39" s="121">
        <v>1</v>
      </c>
      <c r="J39" s="107">
        <v>3562.9</v>
      </c>
      <c r="K39" s="107">
        <v>3045.6</v>
      </c>
      <c r="L39" s="107">
        <v>0</v>
      </c>
      <c r="M39" s="122">
        <v>121</v>
      </c>
      <c r="N39" s="123">
        <f t="shared" si="12"/>
        <v>6565896.2326294025</v>
      </c>
      <c r="O39" s="107"/>
      <c r="P39" s="108"/>
      <c r="Q39" s="108"/>
      <c r="R39" s="108">
        <f>+'Приложение №2'!E39-'Приложение №1'!S39</f>
        <v>2146649.1226294022</v>
      </c>
      <c r="S39" s="108">
        <v>4419247.1100000003</v>
      </c>
      <c r="T39" s="107">
        <f>+'Приложение №2'!E39-'Приложение №1'!P39-'Приложение №1'!Q39-'Приложение №1'!R39-'Приложение №1'!S39</f>
        <v>0</v>
      </c>
      <c r="U39" s="108">
        <f t="shared" si="13"/>
        <v>2155.8629605428823</v>
      </c>
      <c r="V39" s="108">
        <f t="shared" si="13"/>
        <v>2155.8629605428823</v>
      </c>
      <c r="W39" s="135">
        <v>2022</v>
      </c>
      <c r="X39" s="28" t="e">
        <f>+#REF!-'[1]Приложение №1'!$P947</f>
        <v>#REF!</v>
      </c>
      <c r="Z39" s="30">
        <f t="shared" si="14"/>
        <v>21832542.931861956</v>
      </c>
      <c r="AA39" s="26">
        <v>7300266.8214297863</v>
      </c>
      <c r="AB39" s="26">
        <v>2920802.9860308608</v>
      </c>
      <c r="AC39" s="26">
        <v>2157298.9371804232</v>
      </c>
      <c r="AD39" s="26">
        <v>1378612.9203666104</v>
      </c>
      <c r="AE39" s="26">
        <v>0</v>
      </c>
      <c r="AF39" s="26"/>
      <c r="AG39" s="26">
        <v>324340.66562016815</v>
      </c>
      <c r="AH39" s="26">
        <v>0</v>
      </c>
      <c r="AI39" s="26">
        <v>0</v>
      </c>
      <c r="AJ39" s="26">
        <v>5075958.9299699729</v>
      </c>
      <c r="AK39" s="26">
        <v>0</v>
      </c>
      <c r="AL39" s="26">
        <v>0</v>
      </c>
      <c r="AM39" s="26">
        <v>2038005.3008288266</v>
      </c>
      <c r="AN39" s="31">
        <v>218325.4293186196</v>
      </c>
      <c r="AO39" s="32">
        <v>418930.94111669064</v>
      </c>
      <c r="AP39" s="77">
        <f>+N39-'Приложение №2'!E39</f>
        <v>0</v>
      </c>
      <c r="AQ39" s="1">
        <v>1845490.3</v>
      </c>
      <c r="AR39" s="1">
        <f t="shared" si="15"/>
        <v>412855.44479999994</v>
      </c>
      <c r="AS39" s="1">
        <f t="shared" si="16"/>
        <v>14571368.639999999</v>
      </c>
      <c r="AT39" s="28">
        <f t="shared" si="9"/>
        <v>-10152121.529999997</v>
      </c>
    </row>
    <row r="40" spans="1:46" x14ac:dyDescent="0.25">
      <c r="A40" s="72">
        <f t="shared" si="10"/>
        <v>23</v>
      </c>
      <c r="B40" s="73">
        <f t="shared" si="11"/>
        <v>23</v>
      </c>
      <c r="C40" s="73" t="s">
        <v>81</v>
      </c>
      <c r="D40" s="120" t="s">
        <v>289</v>
      </c>
      <c r="E40" s="121">
        <v>1990</v>
      </c>
      <c r="F40" s="121">
        <v>2017</v>
      </c>
      <c r="G40" s="121" t="s">
        <v>83</v>
      </c>
      <c r="H40" s="121">
        <v>9</v>
      </c>
      <c r="I40" s="121">
        <v>1</v>
      </c>
      <c r="J40" s="107">
        <v>3197.5</v>
      </c>
      <c r="K40" s="107">
        <v>2621.1</v>
      </c>
      <c r="L40" s="107">
        <v>132.4</v>
      </c>
      <c r="M40" s="122">
        <v>94</v>
      </c>
      <c r="N40" s="123">
        <f t="shared" si="12"/>
        <v>2676812.0378491483</v>
      </c>
      <c r="O40" s="107"/>
      <c r="P40" s="108"/>
      <c r="Q40" s="108"/>
      <c r="R40" s="108">
        <v>1017398.54</v>
      </c>
      <c r="S40" s="108">
        <f>+'Приложение №2'!E40-'Приложение №1'!R40</f>
        <v>1659413.4978491482</v>
      </c>
      <c r="T40" s="107">
        <f>+'Приложение №2'!E40-'Приложение №1'!P40-'Приложение №1'!Q40-'Приложение №1'!R40-'Приложение №1'!S40</f>
        <v>0</v>
      </c>
      <c r="U40" s="108">
        <f t="shared" si="13"/>
        <v>972.14891514405235</v>
      </c>
      <c r="V40" s="108">
        <f t="shared" si="13"/>
        <v>972.14891514405235</v>
      </c>
      <c r="W40" s="135">
        <v>2022</v>
      </c>
      <c r="X40" s="28" t="e">
        <f>+#REF!-'[1]Приложение №1'!$P948</f>
        <v>#REF!</v>
      </c>
      <c r="Z40" s="30">
        <f t="shared" si="14"/>
        <v>19626786.772724856</v>
      </c>
      <c r="AA40" s="26">
        <v>6562716.0672657713</v>
      </c>
      <c r="AB40" s="26">
        <v>2625712.3410166483</v>
      </c>
      <c r="AC40" s="26">
        <v>1939345.6079399141</v>
      </c>
      <c r="AD40" s="26">
        <v>1239330.7510996102</v>
      </c>
      <c r="AE40" s="26">
        <v>0</v>
      </c>
      <c r="AF40" s="26"/>
      <c r="AG40" s="26">
        <v>291572.31503988599</v>
      </c>
      <c r="AH40" s="26">
        <v>0</v>
      </c>
      <c r="AI40" s="26">
        <v>0</v>
      </c>
      <c r="AJ40" s="26">
        <v>4563131.4637306379</v>
      </c>
      <c r="AK40" s="26">
        <v>0</v>
      </c>
      <c r="AL40" s="26">
        <v>0</v>
      </c>
      <c r="AM40" s="26">
        <v>1832104.2860598667</v>
      </c>
      <c r="AN40" s="31">
        <v>196267.86772724849</v>
      </c>
      <c r="AO40" s="32">
        <v>376606.07284526742</v>
      </c>
      <c r="AP40" s="77">
        <f>+N40-'Приложение №2'!E40</f>
        <v>0</v>
      </c>
      <c r="AQ40" s="1">
        <v>1678059.52</v>
      </c>
      <c r="AR40" s="1">
        <f t="shared" si="15"/>
        <v>385723.88339999993</v>
      </c>
      <c r="AS40" s="1">
        <f t="shared" si="16"/>
        <v>13613784.119999999</v>
      </c>
      <c r="AT40" s="28">
        <f t="shared" si="9"/>
        <v>-11954370.622150851</v>
      </c>
    </row>
    <row r="41" spans="1:46" x14ac:dyDescent="0.25">
      <c r="A41" s="72">
        <f t="shared" si="10"/>
        <v>24</v>
      </c>
      <c r="B41" s="73">
        <f t="shared" si="11"/>
        <v>24</v>
      </c>
      <c r="C41" s="73" t="s">
        <v>82</v>
      </c>
      <c r="D41" s="120" t="s">
        <v>290</v>
      </c>
      <c r="E41" s="121">
        <v>1994</v>
      </c>
      <c r="F41" s="121">
        <v>2017</v>
      </c>
      <c r="G41" s="121" t="s">
        <v>83</v>
      </c>
      <c r="H41" s="121">
        <v>10</v>
      </c>
      <c r="I41" s="121">
        <v>1</v>
      </c>
      <c r="J41" s="107">
        <v>3224</v>
      </c>
      <c r="K41" s="107">
        <v>2850</v>
      </c>
      <c r="L41" s="107">
        <v>0</v>
      </c>
      <c r="M41" s="122">
        <v>96</v>
      </c>
      <c r="N41" s="123">
        <f t="shared" si="12"/>
        <v>3289538.0500000003</v>
      </c>
      <c r="O41" s="107"/>
      <c r="P41" s="110">
        <v>2383274.1340000001</v>
      </c>
      <c r="Q41" s="110"/>
      <c r="R41" s="110">
        <v>906263.91600000008</v>
      </c>
      <c r="S41" s="108"/>
      <c r="T41" s="107"/>
      <c r="U41" s="108">
        <v>1943.3995389381168</v>
      </c>
      <c r="V41" s="108">
        <v>1943.3995389381168</v>
      </c>
      <c r="W41" s="135">
        <v>2022</v>
      </c>
      <c r="X41" s="28" t="e">
        <f>+#REF!-'[1]Приложение №1'!#REF!</f>
        <v>#REF!</v>
      </c>
      <c r="Z41" s="30">
        <f t="shared" si="14"/>
        <v>3305541.4805859262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/>
      <c r="AG41" s="26">
        <v>0</v>
      </c>
      <c r="AH41" s="26">
        <v>0</v>
      </c>
      <c r="AI41" s="26">
        <v>2911322.6036112485</v>
      </c>
      <c r="AJ41" s="26">
        <v>0</v>
      </c>
      <c r="AK41" s="26">
        <v>0</v>
      </c>
      <c r="AL41" s="26">
        <v>0</v>
      </c>
      <c r="AM41" s="26">
        <v>297498.73325273336</v>
      </c>
      <c r="AN41" s="31">
        <v>33055.414805859262</v>
      </c>
      <c r="AO41" s="32">
        <v>63664.728916084932</v>
      </c>
      <c r="AP41" s="77">
        <f>+N41-'Приложение №2'!E41</f>
        <v>0</v>
      </c>
      <c r="AR41" s="1">
        <f t="shared" si="15"/>
        <v>386340.3</v>
      </c>
      <c r="AT41" s="28"/>
    </row>
    <row r="42" spans="1:46" x14ac:dyDescent="0.25">
      <c r="A42" s="72">
        <f t="shared" si="10"/>
        <v>25</v>
      </c>
      <c r="B42" s="73">
        <f t="shared" si="11"/>
        <v>25</v>
      </c>
      <c r="C42" s="73" t="s">
        <v>81</v>
      </c>
      <c r="D42" s="120" t="s">
        <v>291</v>
      </c>
      <c r="E42" s="121">
        <v>1991</v>
      </c>
      <c r="F42" s="121">
        <v>1991</v>
      </c>
      <c r="G42" s="121" t="s">
        <v>83</v>
      </c>
      <c r="H42" s="121">
        <v>5</v>
      </c>
      <c r="I42" s="121">
        <v>8</v>
      </c>
      <c r="J42" s="107">
        <v>7532.7</v>
      </c>
      <c r="K42" s="107">
        <v>6513.5</v>
      </c>
      <c r="L42" s="107">
        <v>98.2</v>
      </c>
      <c r="M42" s="122">
        <v>288</v>
      </c>
      <c r="N42" s="123">
        <f t="shared" si="12"/>
        <v>3078216.5789347347</v>
      </c>
      <c r="O42" s="134"/>
      <c r="P42" s="108">
        <f>8851318.81019353-8851318.81019353</f>
        <v>0</v>
      </c>
      <c r="Q42" s="108"/>
      <c r="R42" s="108">
        <v>809686.14</v>
      </c>
      <c r="S42" s="108">
        <f>+'Приложение №2'!E42-'Приложение №1'!P42-'Приложение №1'!Q42-'Приложение №1'!R42</f>
        <v>2268530.4389347346</v>
      </c>
      <c r="T42" s="107">
        <f>+'Приложение №2'!E42-'Приложение №1'!P42-'Приложение №1'!Q42-'Приложение №1'!R42-'Приложение №1'!S42</f>
        <v>0</v>
      </c>
      <c r="U42" s="108">
        <f t="shared" ref="U42:V66" si="17">$N42/($K42+$L42)</f>
        <v>465.57112073063428</v>
      </c>
      <c r="V42" s="108">
        <f t="shared" si="17"/>
        <v>465.57112073063428</v>
      </c>
      <c r="W42" s="135">
        <v>2022</v>
      </c>
      <c r="X42" s="28" t="e">
        <f>+#REF!-'[1]Приложение №1'!$P574</f>
        <v>#REF!</v>
      </c>
      <c r="Z42" s="30">
        <f t="shared" si="14"/>
        <v>28038201.105236776</v>
      </c>
      <c r="AA42" s="26">
        <v>13119220.497721607</v>
      </c>
      <c r="AB42" s="26">
        <v>5615316.9923980432</v>
      </c>
      <c r="AC42" s="26">
        <v>0</v>
      </c>
      <c r="AD42" s="26">
        <v>5294421.916446479</v>
      </c>
      <c r="AE42" s="26">
        <v>0</v>
      </c>
      <c r="AF42" s="26"/>
      <c r="AG42" s="26">
        <v>544692.12481384957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2646791.5738696922</v>
      </c>
      <c r="AN42" s="31">
        <v>280382.01105236774</v>
      </c>
      <c r="AO42" s="32">
        <v>537375.98893473484</v>
      </c>
      <c r="AP42" s="77">
        <f>+N42-'Приложение №2'!E42</f>
        <v>0</v>
      </c>
      <c r="AQ42" s="1">
        <f>3159895.02-'[4]Приложение №1'!$R$23-542094.29</f>
        <v>2338680.5110857142</v>
      </c>
      <c r="AR42" s="1">
        <f>+(K42*10+L42*20)*12*0.85</f>
        <v>684409.79999999993</v>
      </c>
      <c r="AS42" s="1">
        <f>+(K42*10+L42*20)*12*30-'[4]Приложение №1'!$S$23-4668048.56</f>
        <v>19282413.25</v>
      </c>
      <c r="AT42" s="28">
        <f t="shared" si="9"/>
        <v>-17013882.811065264</v>
      </c>
    </row>
    <row r="43" spans="1:46" x14ac:dyDescent="0.25">
      <c r="A43" s="72">
        <f t="shared" si="10"/>
        <v>26</v>
      </c>
      <c r="B43" s="73">
        <f t="shared" si="11"/>
        <v>26</v>
      </c>
      <c r="C43" s="73" t="s">
        <v>82</v>
      </c>
      <c r="D43" s="120" t="s">
        <v>292</v>
      </c>
      <c r="E43" s="121">
        <v>1993</v>
      </c>
      <c r="F43" s="121">
        <v>1993</v>
      </c>
      <c r="G43" s="121" t="s">
        <v>83</v>
      </c>
      <c r="H43" s="121">
        <v>9</v>
      </c>
      <c r="I43" s="121">
        <v>1</v>
      </c>
      <c r="J43" s="107">
        <v>2888.5</v>
      </c>
      <c r="K43" s="107">
        <v>2497</v>
      </c>
      <c r="L43" s="107">
        <v>0</v>
      </c>
      <c r="M43" s="122">
        <v>69</v>
      </c>
      <c r="N43" s="123">
        <f t="shared" si="12"/>
        <v>3685808.05</v>
      </c>
      <c r="O43" s="107"/>
      <c r="P43" s="110">
        <v>2911514.27</v>
      </c>
      <c r="Q43" s="110"/>
      <c r="R43" s="110">
        <v>774293.78</v>
      </c>
      <c r="S43" s="108"/>
      <c r="T43" s="107">
        <v>0</v>
      </c>
      <c r="U43" s="108">
        <f t="shared" si="17"/>
        <v>1476.0945334401281</v>
      </c>
      <c r="V43" s="108">
        <f t="shared" si="17"/>
        <v>1476.0945334401281</v>
      </c>
      <c r="W43" s="135">
        <v>2022</v>
      </c>
      <c r="X43" s="28" t="e">
        <f>+#REF!-'[1]Приложение №1'!#REF!</f>
        <v>#REF!</v>
      </c>
      <c r="Z43" s="30">
        <f t="shared" si="14"/>
        <v>11478959.236332808</v>
      </c>
      <c r="AA43" s="26">
        <v>5974688.2730102511</v>
      </c>
      <c r="AB43" s="26">
        <v>0</v>
      </c>
      <c r="AC43" s="26">
        <v>0</v>
      </c>
      <c r="AD43" s="26">
        <v>0</v>
      </c>
      <c r="AE43" s="26">
        <v>0</v>
      </c>
      <c r="AF43" s="26"/>
      <c r="AG43" s="26">
        <v>0</v>
      </c>
      <c r="AH43" s="26">
        <v>0</v>
      </c>
      <c r="AI43" s="26">
        <v>0</v>
      </c>
      <c r="AJ43" s="26">
        <v>4154269.0198868029</v>
      </c>
      <c r="AK43" s="26">
        <v>0</v>
      </c>
      <c r="AL43" s="26">
        <v>0</v>
      </c>
      <c r="AM43" s="26">
        <v>1013712.5696826887</v>
      </c>
      <c r="AN43" s="31">
        <v>114789.59236332808</v>
      </c>
      <c r="AO43" s="32">
        <v>221499.78138973733</v>
      </c>
      <c r="AP43" s="77">
        <f>+N43-'Приложение №2'!E43</f>
        <v>0</v>
      </c>
      <c r="AR43" s="1">
        <f>+(K43*13.29+L43*22.52)*12*0.85</f>
        <v>338488.32599999994</v>
      </c>
      <c r="AT43" s="28">
        <f t="shared" si="9"/>
        <v>0</v>
      </c>
    </row>
    <row r="44" spans="1:46" x14ac:dyDescent="0.25">
      <c r="A44" s="72">
        <f t="shared" si="10"/>
        <v>27</v>
      </c>
      <c r="B44" s="73">
        <f t="shared" si="11"/>
        <v>27</v>
      </c>
      <c r="C44" s="73" t="s">
        <v>81</v>
      </c>
      <c r="D44" s="120" t="s">
        <v>293</v>
      </c>
      <c r="E44" s="121">
        <v>1990</v>
      </c>
      <c r="F44" s="121">
        <v>1990</v>
      </c>
      <c r="G44" s="121" t="s">
        <v>83</v>
      </c>
      <c r="H44" s="121">
        <v>5</v>
      </c>
      <c r="I44" s="121">
        <v>8</v>
      </c>
      <c r="J44" s="107">
        <v>7467.3</v>
      </c>
      <c r="K44" s="107">
        <v>6603.4</v>
      </c>
      <c r="L44" s="107">
        <v>0</v>
      </c>
      <c r="M44" s="122">
        <v>290</v>
      </c>
      <c r="N44" s="123">
        <f t="shared" si="12"/>
        <v>9041524.1470446158</v>
      </c>
      <c r="O44" s="134"/>
      <c r="P44" s="108"/>
      <c r="Q44" s="108"/>
      <c r="R44" s="108">
        <v>3767863.0300000003</v>
      </c>
      <c r="S44" s="108">
        <f>+'Приложение №2'!E44-'Приложение №1'!P44-'Приложение №1'!Q44-'Приложение №1'!R44</f>
        <v>5273661.1170446156</v>
      </c>
      <c r="T44" s="107">
        <f>+'Приложение №2'!E44-'Приложение №1'!P44-'Приложение №1'!Q44-'Приложение №1'!R44-'Приложение №1'!S44</f>
        <v>0</v>
      </c>
      <c r="U44" s="108">
        <f t="shared" si="17"/>
        <v>1369.2225439992453</v>
      </c>
      <c r="V44" s="108">
        <f t="shared" si="17"/>
        <v>1369.2225439992453</v>
      </c>
      <c r="W44" s="135">
        <v>2022</v>
      </c>
      <c r="X44" s="28" t="e">
        <f>+#REF!-'[1]Приложение №1'!$P577</f>
        <v>#REF!</v>
      </c>
      <c r="Z44" s="30">
        <f t="shared" si="14"/>
        <v>28006015.637174524</v>
      </c>
      <c r="AA44" s="26">
        <v>13104160.749389457</v>
      </c>
      <c r="AB44" s="26">
        <v>5608871.0865055826</v>
      </c>
      <c r="AC44" s="26">
        <v>0</v>
      </c>
      <c r="AD44" s="26">
        <v>5288344.3707843907</v>
      </c>
      <c r="AE44" s="26">
        <v>0</v>
      </c>
      <c r="AF44" s="26"/>
      <c r="AG44" s="26">
        <v>544066.86462254275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2643753.2824561852</v>
      </c>
      <c r="AN44" s="31">
        <v>280060.15637174522</v>
      </c>
      <c r="AO44" s="32">
        <v>536759.12704461697</v>
      </c>
      <c r="AP44" s="77">
        <f>+N44-'Приложение №2'!E44</f>
        <v>0</v>
      </c>
      <c r="AQ44" s="1">
        <v>3256134.06</v>
      </c>
      <c r="AR44" s="1">
        <f t="shared" ref="AR44:AR51" si="18">+(K44*10+L44*20)*12*0.85</f>
        <v>673546.79999999993</v>
      </c>
      <c r="AS44" s="1">
        <f t="shared" ref="AS44:AS51" si="19">+(K44*10+L44*20)*12*30</f>
        <v>23772240</v>
      </c>
      <c r="AT44" s="28">
        <f t="shared" si="9"/>
        <v>-18498578.882955384</v>
      </c>
    </row>
    <row r="45" spans="1:46" x14ac:dyDescent="0.25">
      <c r="A45" s="72">
        <f t="shared" si="10"/>
        <v>28</v>
      </c>
      <c r="B45" s="73">
        <f t="shared" si="11"/>
        <v>28</v>
      </c>
      <c r="C45" s="73" t="s">
        <v>81</v>
      </c>
      <c r="D45" s="120" t="s">
        <v>294</v>
      </c>
      <c r="E45" s="121">
        <v>1986</v>
      </c>
      <c r="F45" s="121">
        <v>2013</v>
      </c>
      <c r="G45" s="121" t="s">
        <v>83</v>
      </c>
      <c r="H45" s="121">
        <v>5</v>
      </c>
      <c r="I45" s="121">
        <v>3</v>
      </c>
      <c r="J45" s="107">
        <v>4428.3999999999996</v>
      </c>
      <c r="K45" s="107">
        <v>3725.8</v>
      </c>
      <c r="L45" s="107">
        <v>0</v>
      </c>
      <c r="M45" s="122">
        <v>153</v>
      </c>
      <c r="N45" s="123">
        <f t="shared" si="12"/>
        <v>5302435.6314287242</v>
      </c>
      <c r="O45" s="107"/>
      <c r="P45" s="108"/>
      <c r="Q45" s="108"/>
      <c r="R45" s="108">
        <f>+AQ45+AR45</f>
        <v>2244260.13</v>
      </c>
      <c r="S45" s="108">
        <f>+'Приложение №2'!E45-'Приложение №1'!P45-'Приложение №1'!R45</f>
        <v>3058175.5014287243</v>
      </c>
      <c r="T45" s="107">
        <f>+'Приложение №2'!E45-'Приложение №1'!P45-'Приложение №1'!Q45-'Приложение №1'!R45-'Приложение №1'!S45</f>
        <v>0</v>
      </c>
      <c r="U45" s="108">
        <f t="shared" si="17"/>
        <v>1423.1670061272005</v>
      </c>
      <c r="V45" s="108">
        <f t="shared" si="17"/>
        <v>1423.1670061272005</v>
      </c>
      <c r="W45" s="135">
        <v>2022</v>
      </c>
      <c r="X45" s="28" t="e">
        <f>+#REF!-'[1]Приложение №1'!$P1347</f>
        <v>#REF!</v>
      </c>
      <c r="Z45" s="30">
        <f t="shared" si="14"/>
        <v>12150273.237424361</v>
      </c>
      <c r="AA45" s="26">
        <v>7382843.4652546057</v>
      </c>
      <c r="AB45" s="26">
        <v>0</v>
      </c>
      <c r="AC45" s="26">
        <v>0</v>
      </c>
      <c r="AD45" s="26">
        <v>2979436.7931330968</v>
      </c>
      <c r="AE45" s="26">
        <v>0</v>
      </c>
      <c r="AF45" s="26"/>
      <c r="AG45" s="26">
        <v>306525.58168040245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1126659.4892437549</v>
      </c>
      <c r="AN45" s="31">
        <v>121502.73237424361</v>
      </c>
      <c r="AO45" s="32">
        <v>233305.17573825616</v>
      </c>
      <c r="AP45" s="77">
        <f>+N45-'Приложение №2'!E45</f>
        <v>0</v>
      </c>
      <c r="AQ45" s="1">
        <v>1864228.53</v>
      </c>
      <c r="AR45" s="1">
        <f t="shared" si="18"/>
        <v>380031.6</v>
      </c>
      <c r="AS45" s="1">
        <f t="shared" si="19"/>
        <v>13412880</v>
      </c>
      <c r="AT45" s="28">
        <f t="shared" si="9"/>
        <v>-10354704.498571277</v>
      </c>
    </row>
    <row r="46" spans="1:46" x14ac:dyDescent="0.25">
      <c r="A46" s="72">
        <f t="shared" si="10"/>
        <v>29</v>
      </c>
      <c r="B46" s="73">
        <f t="shared" si="11"/>
        <v>29</v>
      </c>
      <c r="C46" s="73" t="s">
        <v>81</v>
      </c>
      <c r="D46" s="120" t="s">
        <v>193</v>
      </c>
      <c r="E46" s="121">
        <v>1982</v>
      </c>
      <c r="F46" s="121">
        <v>2015</v>
      </c>
      <c r="G46" s="121" t="s">
        <v>43</v>
      </c>
      <c r="H46" s="121">
        <v>5</v>
      </c>
      <c r="I46" s="121">
        <v>2</v>
      </c>
      <c r="J46" s="107">
        <v>4442.3</v>
      </c>
      <c r="K46" s="107">
        <v>3156.5</v>
      </c>
      <c r="L46" s="107">
        <v>550.29999999999995</v>
      </c>
      <c r="M46" s="122">
        <v>201</v>
      </c>
      <c r="N46" s="123">
        <f t="shared" si="12"/>
        <v>4475493.9860630399</v>
      </c>
      <c r="O46" s="107"/>
      <c r="P46" s="108"/>
      <c r="Q46" s="108"/>
      <c r="R46" s="108">
        <f>+AQ46+AR46</f>
        <v>2476157.23</v>
      </c>
      <c r="S46" s="108">
        <f>+'Приложение №2'!E46-'Приложение №1'!P46-'Приложение №1'!R46</f>
        <v>1999336.7560630399</v>
      </c>
      <c r="T46" s="107">
        <f>+'Приложение №2'!E46-'Приложение №1'!P46-'Приложение №1'!Q46-'Приложение №1'!R46-'Приложение №1'!S46</f>
        <v>0</v>
      </c>
      <c r="U46" s="108">
        <f t="shared" si="17"/>
        <v>1207.3740115633536</v>
      </c>
      <c r="V46" s="108">
        <f t="shared" si="17"/>
        <v>1207.3740115633536</v>
      </c>
      <c r="W46" s="135">
        <v>2022</v>
      </c>
      <c r="X46" s="28" t="e">
        <f>+#REF!-'[1]Приложение №1'!$P1351</f>
        <v>#REF!</v>
      </c>
      <c r="Z46" s="30">
        <f t="shared" si="14"/>
        <v>7162902.2400000002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/>
      <c r="AG46" s="26">
        <v>0</v>
      </c>
      <c r="AH46" s="26">
        <v>0</v>
      </c>
      <c r="AI46" s="26">
        <v>0</v>
      </c>
      <c r="AJ46" s="26">
        <v>6238558.3575369595</v>
      </c>
      <c r="AK46" s="26">
        <v>0</v>
      </c>
      <c r="AL46" s="26">
        <v>0</v>
      </c>
      <c r="AM46" s="26">
        <v>716290.22400000005</v>
      </c>
      <c r="AN46" s="31">
        <v>71629.022400000002</v>
      </c>
      <c r="AO46" s="32">
        <v>136424.63606304</v>
      </c>
      <c r="AP46" s="77">
        <f>+N46-'Приложение №2'!E46</f>
        <v>0</v>
      </c>
      <c r="AQ46" s="1">
        <v>2041933.03</v>
      </c>
      <c r="AR46" s="1">
        <f t="shared" si="18"/>
        <v>434224.2</v>
      </c>
      <c r="AS46" s="1">
        <f t="shared" si="19"/>
        <v>15325560</v>
      </c>
      <c r="AT46" s="28">
        <f t="shared" si="9"/>
        <v>-13326223.24393696</v>
      </c>
    </row>
    <row r="47" spans="1:46" x14ac:dyDescent="0.25">
      <c r="A47" s="72">
        <f t="shared" si="10"/>
        <v>30</v>
      </c>
      <c r="B47" s="73">
        <f t="shared" si="11"/>
        <v>30</v>
      </c>
      <c r="C47" s="73" t="s">
        <v>81</v>
      </c>
      <c r="D47" s="120" t="s">
        <v>194</v>
      </c>
      <c r="E47" s="121">
        <v>1982</v>
      </c>
      <c r="F47" s="121">
        <v>2015</v>
      </c>
      <c r="G47" s="121" t="s">
        <v>43</v>
      </c>
      <c r="H47" s="121">
        <v>5</v>
      </c>
      <c r="I47" s="121">
        <v>2</v>
      </c>
      <c r="J47" s="107">
        <v>4452.8</v>
      </c>
      <c r="K47" s="107">
        <v>3512.5</v>
      </c>
      <c r="L47" s="107">
        <v>318.8</v>
      </c>
      <c r="M47" s="122">
        <v>217</v>
      </c>
      <c r="N47" s="123">
        <f t="shared" si="12"/>
        <v>4016836.5007339837</v>
      </c>
      <c r="O47" s="107"/>
      <c r="P47" s="108"/>
      <c r="Q47" s="108"/>
      <c r="R47" s="108">
        <v>1643740.64</v>
      </c>
      <c r="S47" s="108">
        <v>1314001.95</v>
      </c>
      <c r="T47" s="107">
        <f>+'Приложение №2'!E47-'Приложение №1'!P47-'Приложение №1'!Q47-'Приложение №1'!R47-'Приложение №1'!S47</f>
        <v>1059093.9107339841</v>
      </c>
      <c r="U47" s="108">
        <f t="shared" si="17"/>
        <v>1048.4265133855306</v>
      </c>
      <c r="V47" s="108">
        <f t="shared" si="17"/>
        <v>1048.4265133855306</v>
      </c>
      <c r="W47" s="135">
        <v>2022</v>
      </c>
      <c r="X47" s="28" t="e">
        <f>+#REF!-'[1]Приложение №1'!$P1352</f>
        <v>#REF!</v>
      </c>
      <c r="Z47" s="30">
        <f t="shared" si="14"/>
        <v>7066064.3040000005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/>
      <c r="AG47" s="26">
        <v>0</v>
      </c>
      <c r="AH47" s="26">
        <v>0</v>
      </c>
      <c r="AI47" s="26">
        <v>0</v>
      </c>
      <c r="AJ47" s="26">
        <v>6154216.9698260156</v>
      </c>
      <c r="AK47" s="26">
        <v>0</v>
      </c>
      <c r="AL47" s="26">
        <v>0</v>
      </c>
      <c r="AM47" s="26">
        <v>706606.43040000007</v>
      </c>
      <c r="AN47" s="31">
        <v>70660.64304000001</v>
      </c>
      <c r="AO47" s="32">
        <v>134580.260733984</v>
      </c>
      <c r="AP47" s="77">
        <f>+N47-'Приложение №2'!E47</f>
        <v>0</v>
      </c>
      <c r="AQ47" s="1">
        <v>1702606.52</v>
      </c>
      <c r="AR47" s="1">
        <f t="shared" si="18"/>
        <v>423310.2</v>
      </c>
      <c r="AS47" s="1">
        <f t="shared" si="19"/>
        <v>14940360</v>
      </c>
      <c r="AT47" s="28">
        <f t="shared" si="9"/>
        <v>-13626358.050000001</v>
      </c>
    </row>
    <row r="48" spans="1:46" x14ac:dyDescent="0.25">
      <c r="A48" s="72">
        <f t="shared" si="10"/>
        <v>31</v>
      </c>
      <c r="B48" s="73">
        <f t="shared" si="11"/>
        <v>31</v>
      </c>
      <c r="C48" s="73" t="s">
        <v>81</v>
      </c>
      <c r="D48" s="120" t="s">
        <v>195</v>
      </c>
      <c r="E48" s="121">
        <v>1982</v>
      </c>
      <c r="F48" s="121">
        <v>2015</v>
      </c>
      <c r="G48" s="121" t="s">
        <v>43</v>
      </c>
      <c r="H48" s="121">
        <v>5</v>
      </c>
      <c r="I48" s="121">
        <v>2</v>
      </c>
      <c r="J48" s="107">
        <v>4432.8999999999996</v>
      </c>
      <c r="K48" s="107">
        <v>3547.5</v>
      </c>
      <c r="L48" s="107">
        <v>134.80000000000001</v>
      </c>
      <c r="M48" s="122">
        <v>210</v>
      </c>
      <c r="N48" s="123">
        <f t="shared" si="12"/>
        <v>4129287.6900192648</v>
      </c>
      <c r="O48" s="107"/>
      <c r="P48" s="108"/>
      <c r="Q48" s="108"/>
      <c r="R48" s="108">
        <v>1735919.07</v>
      </c>
      <c r="S48" s="108">
        <v>1334293.18</v>
      </c>
      <c r="T48" s="107">
        <f>+'Приложение №2'!E48-'Приложение №1'!P48-'Приложение №1'!Q48-'Приложение №1'!R48-'Приложение №1'!S48</f>
        <v>1059075.4400192646</v>
      </c>
      <c r="U48" s="108">
        <f t="shared" si="17"/>
        <v>1121.3881785892688</v>
      </c>
      <c r="V48" s="108">
        <f t="shared" si="17"/>
        <v>1121.3881785892688</v>
      </c>
      <c r="W48" s="135">
        <v>2022</v>
      </c>
      <c r="X48" s="28" t="e">
        <f>+#REF!-'[1]Приложение №1'!$P1353</f>
        <v>#REF!</v>
      </c>
      <c r="Z48" s="30">
        <f t="shared" si="14"/>
        <v>7065093.9840000002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/>
      <c r="AG48" s="26">
        <v>0</v>
      </c>
      <c r="AH48" s="26">
        <v>0</v>
      </c>
      <c r="AI48" s="26">
        <v>0</v>
      </c>
      <c r="AJ48" s="26">
        <v>6153371.865740736</v>
      </c>
      <c r="AK48" s="26">
        <v>0</v>
      </c>
      <c r="AL48" s="26">
        <v>0</v>
      </c>
      <c r="AM48" s="26">
        <v>706509.39840000006</v>
      </c>
      <c r="AN48" s="31">
        <v>70650.939840000006</v>
      </c>
      <c r="AO48" s="32">
        <v>134561.780019264</v>
      </c>
      <c r="AP48" s="77">
        <f>+N48-'Приложение №2'!E48</f>
        <v>0</v>
      </c>
      <c r="AQ48" s="1">
        <v>1792243.71</v>
      </c>
      <c r="AR48" s="1">
        <f t="shared" si="18"/>
        <v>389344.2</v>
      </c>
      <c r="AS48" s="1">
        <f t="shared" si="19"/>
        <v>13741560</v>
      </c>
      <c r="AT48" s="28">
        <f t="shared" si="9"/>
        <v>-12407266.82</v>
      </c>
    </row>
    <row r="49" spans="1:46" x14ac:dyDescent="0.25">
      <c r="A49" s="72">
        <f t="shared" si="10"/>
        <v>32</v>
      </c>
      <c r="B49" s="73">
        <f t="shared" si="11"/>
        <v>32</v>
      </c>
      <c r="C49" s="73" t="s">
        <v>81</v>
      </c>
      <c r="D49" s="120" t="s">
        <v>196</v>
      </c>
      <c r="E49" s="121" t="s">
        <v>108</v>
      </c>
      <c r="F49" s="121"/>
      <c r="G49" s="121" t="s">
        <v>43</v>
      </c>
      <c r="H49" s="121" t="s">
        <v>104</v>
      </c>
      <c r="I49" s="121" t="s">
        <v>95</v>
      </c>
      <c r="J49" s="107">
        <v>4415.8999999999996</v>
      </c>
      <c r="K49" s="107">
        <v>2900.4</v>
      </c>
      <c r="L49" s="107">
        <v>868.6</v>
      </c>
      <c r="M49" s="122">
        <v>169</v>
      </c>
      <c r="N49" s="133">
        <f t="shared" si="12"/>
        <v>3549906.48971568</v>
      </c>
      <c r="O49" s="134">
        <v>0</v>
      </c>
      <c r="P49" s="108">
        <v>0</v>
      </c>
      <c r="Q49" s="108">
        <v>0</v>
      </c>
      <c r="R49" s="108">
        <f>+'Приложение №2'!E49</f>
        <v>3549906.48971568</v>
      </c>
      <c r="S49" s="108"/>
      <c r="T49" s="108">
        <v>0</v>
      </c>
      <c r="U49" s="107">
        <f t="shared" si="17"/>
        <v>941.86959132811887</v>
      </c>
      <c r="V49" s="107">
        <f t="shared" si="17"/>
        <v>941.86959132811887</v>
      </c>
      <c r="W49" s="135">
        <v>2022</v>
      </c>
      <c r="X49" s="28"/>
      <c r="Z49" s="30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31"/>
      <c r="AO49" s="32"/>
      <c r="AP49" s="77">
        <f>+N49-'Приложение №2'!E49</f>
        <v>0</v>
      </c>
      <c r="AQ49" s="1">
        <v>3734892.48</v>
      </c>
      <c r="AR49" s="1">
        <f t="shared" si="18"/>
        <v>473035.2</v>
      </c>
      <c r="AS49" s="1">
        <f t="shared" si="19"/>
        <v>16695360</v>
      </c>
      <c r="AT49" s="28">
        <f t="shared" si="9"/>
        <v>-16695360</v>
      </c>
    </row>
    <row r="50" spans="1:46" x14ac:dyDescent="0.25">
      <c r="A50" s="72">
        <f t="shared" si="10"/>
        <v>33</v>
      </c>
      <c r="B50" s="73">
        <f t="shared" si="11"/>
        <v>33</v>
      </c>
      <c r="C50" s="73" t="s">
        <v>81</v>
      </c>
      <c r="D50" s="120" t="s">
        <v>295</v>
      </c>
      <c r="E50" s="121">
        <v>1983</v>
      </c>
      <c r="F50" s="121">
        <v>2008</v>
      </c>
      <c r="G50" s="121" t="s">
        <v>83</v>
      </c>
      <c r="H50" s="121">
        <v>5</v>
      </c>
      <c r="I50" s="121">
        <v>3</v>
      </c>
      <c r="J50" s="107">
        <v>5132.1000000000004</v>
      </c>
      <c r="K50" s="107">
        <v>4364.6000000000004</v>
      </c>
      <c r="L50" s="107">
        <v>0</v>
      </c>
      <c r="M50" s="122">
        <v>197</v>
      </c>
      <c r="N50" s="123">
        <f t="shared" si="12"/>
        <v>12323375.331853973</v>
      </c>
      <c r="O50" s="107"/>
      <c r="P50" s="108">
        <v>1178824.69</v>
      </c>
      <c r="Q50" s="108"/>
      <c r="R50" s="108">
        <f>+AQ50+AR50</f>
        <v>2481839.0700000003</v>
      </c>
      <c r="S50" s="108">
        <f>+'Приложение №2'!E50-'Приложение №1'!P50-'Приложение №1'!Q50-'Приложение №1'!R50</f>
        <v>8662711.571853973</v>
      </c>
      <c r="T50" s="107">
        <f>+'Приложение №2'!E50-'Приложение №1'!P50-'Приложение №1'!Q50-'Приложение №1'!R50-'Приложение №1'!S50</f>
        <v>0</v>
      </c>
      <c r="U50" s="108">
        <f t="shared" si="17"/>
        <v>2823.4833276483464</v>
      </c>
      <c r="V50" s="108">
        <f t="shared" si="17"/>
        <v>2823.4833276483464</v>
      </c>
      <c r="W50" s="135">
        <v>2022</v>
      </c>
      <c r="X50" s="28" t="e">
        <f>+#REF!-'[1]Приложение №1'!$P959</f>
        <v>#REF!</v>
      </c>
      <c r="Z50" s="30">
        <f t="shared" ref="Z50:Z66" si="20">SUM(AA50:AO50)</f>
        <v>38187844.389634863</v>
      </c>
      <c r="AA50" s="26">
        <v>8573356.2018279508</v>
      </c>
      <c r="AB50" s="26">
        <v>3669586.3729378125</v>
      </c>
      <c r="AC50" s="26">
        <v>3275767.6194978259</v>
      </c>
      <c r="AD50" s="26">
        <v>3459882.7712624557</v>
      </c>
      <c r="AE50" s="26">
        <v>0</v>
      </c>
      <c r="AF50" s="26"/>
      <c r="AG50" s="26">
        <v>355954.04522476508</v>
      </c>
      <c r="AH50" s="26">
        <v>0</v>
      </c>
      <c r="AI50" s="26">
        <v>14183322.770203391</v>
      </c>
      <c r="AJ50" s="26">
        <v>0</v>
      </c>
      <c r="AK50" s="26">
        <v>0</v>
      </c>
      <c r="AL50" s="26">
        <v>0</v>
      </c>
      <c r="AM50" s="26">
        <v>3555128.2378351944</v>
      </c>
      <c r="AN50" s="31">
        <v>381878.4438963487</v>
      </c>
      <c r="AO50" s="32">
        <v>732967.9269491313</v>
      </c>
      <c r="AP50" s="77">
        <f>+N50-'Приложение №2'!E50</f>
        <v>0</v>
      </c>
      <c r="AQ50" s="1">
        <v>2036649.87</v>
      </c>
      <c r="AR50" s="1">
        <f t="shared" si="18"/>
        <v>445189.2</v>
      </c>
      <c r="AS50" s="1">
        <f t="shared" si="19"/>
        <v>15712560</v>
      </c>
      <c r="AT50" s="28">
        <f t="shared" si="9"/>
        <v>-7049848.428146027</v>
      </c>
    </row>
    <row r="51" spans="1:46" x14ac:dyDescent="0.25">
      <c r="A51" s="72">
        <f t="shared" si="10"/>
        <v>34</v>
      </c>
      <c r="B51" s="73">
        <f t="shared" si="11"/>
        <v>34</v>
      </c>
      <c r="C51" s="73" t="s">
        <v>81</v>
      </c>
      <c r="D51" s="120" t="s">
        <v>201</v>
      </c>
      <c r="E51" s="121">
        <v>1992</v>
      </c>
      <c r="F51" s="121">
        <v>2001</v>
      </c>
      <c r="G51" s="121" t="s">
        <v>43</v>
      </c>
      <c r="H51" s="121">
        <v>3</v>
      </c>
      <c r="I51" s="121">
        <v>5</v>
      </c>
      <c r="J51" s="107">
        <v>2965.1</v>
      </c>
      <c r="K51" s="107">
        <v>2484</v>
      </c>
      <c r="L51" s="107">
        <v>87.5</v>
      </c>
      <c r="M51" s="122">
        <v>91</v>
      </c>
      <c r="N51" s="123">
        <f t="shared" si="12"/>
        <v>26057138.58937408</v>
      </c>
      <c r="O51" s="107"/>
      <c r="P51" s="108">
        <v>17333675.789999999</v>
      </c>
      <c r="Q51" s="108"/>
      <c r="R51" s="108">
        <f>+'Приложение №2'!E51-'Приложение №1'!P51-'Приложение №1'!S51</f>
        <v>1187004.639374081</v>
      </c>
      <c r="S51" s="108">
        <v>7536458.1600000001</v>
      </c>
      <c r="T51" s="107">
        <f>+'Приложение №2'!E51-'Приложение №1'!P51-'Приложение №1'!Q51-'Приложение №1'!R51-'Приложение №1'!S51</f>
        <v>0</v>
      </c>
      <c r="U51" s="108">
        <f t="shared" si="17"/>
        <v>10133.050200028809</v>
      </c>
      <c r="V51" s="108">
        <f t="shared" si="17"/>
        <v>10133.050200028809</v>
      </c>
      <c r="W51" s="135">
        <v>2022</v>
      </c>
      <c r="X51" s="28" t="e">
        <f>+#REF!-'[1]Приложение №1'!$P1360</f>
        <v>#REF!</v>
      </c>
      <c r="Z51" s="30">
        <f t="shared" si="20"/>
        <v>25552155.489999998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/>
      <c r="AG51" s="26">
        <v>0</v>
      </c>
      <c r="AH51" s="26">
        <v>0</v>
      </c>
      <c r="AI51" s="26">
        <v>22504805.426262595</v>
      </c>
      <c r="AJ51" s="26">
        <v>0</v>
      </c>
      <c r="AK51" s="26">
        <v>0</v>
      </c>
      <c r="AL51" s="26">
        <v>0</v>
      </c>
      <c r="AM51" s="26">
        <v>2299693.9940999998</v>
      </c>
      <c r="AN51" s="31">
        <v>255521.55489999999</v>
      </c>
      <c r="AO51" s="32">
        <v>492134.51473739999</v>
      </c>
      <c r="AP51" s="77">
        <f>+N51-'Приложение №2'!E51</f>
        <v>0</v>
      </c>
      <c r="AQ51" s="1">
        <v>1173019.05</v>
      </c>
      <c r="AR51" s="1">
        <f t="shared" si="18"/>
        <v>271218</v>
      </c>
      <c r="AS51" s="1">
        <f t="shared" si="19"/>
        <v>9572400</v>
      </c>
      <c r="AT51" s="28">
        <f t="shared" si="9"/>
        <v>-2035941.8399999999</v>
      </c>
    </row>
    <row r="52" spans="1:46" x14ac:dyDescent="0.25">
      <c r="A52" s="72">
        <f t="shared" si="10"/>
        <v>35</v>
      </c>
      <c r="B52" s="73">
        <f t="shared" si="11"/>
        <v>35</v>
      </c>
      <c r="C52" s="73" t="s">
        <v>81</v>
      </c>
      <c r="D52" s="120" t="s">
        <v>202</v>
      </c>
      <c r="E52" s="121">
        <v>1987</v>
      </c>
      <c r="F52" s="121">
        <v>2017</v>
      </c>
      <c r="G52" s="121" t="s">
        <v>83</v>
      </c>
      <c r="H52" s="121">
        <v>9</v>
      </c>
      <c r="I52" s="121">
        <v>1</v>
      </c>
      <c r="J52" s="107">
        <v>2767.8</v>
      </c>
      <c r="K52" s="107">
        <v>2150.8000000000002</v>
      </c>
      <c r="L52" s="107">
        <v>66.8</v>
      </c>
      <c r="M52" s="122">
        <v>94</v>
      </c>
      <c r="N52" s="133">
        <f t="shared" si="12"/>
        <v>2330396.1391615802</v>
      </c>
      <c r="O52" s="107"/>
      <c r="P52" s="108"/>
      <c r="Q52" s="108"/>
      <c r="R52" s="108">
        <v>472007.06</v>
      </c>
      <c r="S52" s="108">
        <f>+'Приложение №2'!E52-'Приложение №1'!R52</f>
        <v>1858389.0791615797</v>
      </c>
      <c r="T52" s="108">
        <v>2.3283064365386963E-10</v>
      </c>
      <c r="U52" s="107">
        <f t="shared" si="17"/>
        <v>1050.8640598672348</v>
      </c>
      <c r="V52" s="107">
        <f t="shared" si="17"/>
        <v>1050.8640598672348</v>
      </c>
      <c r="W52" s="135">
        <v>2022</v>
      </c>
      <c r="X52" s="28" t="e">
        <f>+#REF!-'[1]Приложение №1'!$P782</f>
        <v>#REF!</v>
      </c>
      <c r="Z52" s="30">
        <f t="shared" si="20"/>
        <v>24358296.106563497</v>
      </c>
      <c r="AA52" s="26">
        <v>5322442.2844350552</v>
      </c>
      <c r="AB52" s="26">
        <v>2129484.5377048999</v>
      </c>
      <c r="AC52" s="26">
        <v>0</v>
      </c>
      <c r="AD52" s="26">
        <v>0</v>
      </c>
      <c r="AE52" s="26">
        <v>0</v>
      </c>
      <c r="AF52" s="26"/>
      <c r="AG52" s="26">
        <v>236468.68196531132</v>
      </c>
      <c r="AH52" s="26">
        <v>0</v>
      </c>
      <c r="AI52" s="26">
        <v>0</v>
      </c>
      <c r="AJ52" s="26">
        <v>0</v>
      </c>
      <c r="AK52" s="26">
        <v>13665253.188203763</v>
      </c>
      <c r="AL52" s="26">
        <v>0</v>
      </c>
      <c r="AM52" s="26">
        <v>2294103.4047365393</v>
      </c>
      <c r="AN52" s="31">
        <v>243582.96106563497</v>
      </c>
      <c r="AO52" s="32">
        <v>466961.04845229239</v>
      </c>
      <c r="AP52" s="77">
        <f>+N52-'Приложение №2'!E52</f>
        <v>0</v>
      </c>
      <c r="AQ52" s="1">
        <v>1394329.46</v>
      </c>
      <c r="AR52" s="1">
        <f>+(K52*13.29+L52*22.52)*12*0.85</f>
        <v>306902.37360000005</v>
      </c>
      <c r="AS52" s="1">
        <f>+(K52*13.29+L52*22.52)*12*30</f>
        <v>10831848.48</v>
      </c>
      <c r="AT52" s="28">
        <f t="shared" si="9"/>
        <v>-8973459.4008384198</v>
      </c>
    </row>
    <row r="53" spans="1:46" x14ac:dyDescent="0.25">
      <c r="A53" s="72">
        <f t="shared" si="10"/>
        <v>36</v>
      </c>
      <c r="B53" s="73">
        <f t="shared" si="11"/>
        <v>36</v>
      </c>
      <c r="C53" s="73" t="s">
        <v>81</v>
      </c>
      <c r="D53" s="120" t="s">
        <v>296</v>
      </c>
      <c r="E53" s="121">
        <v>1992</v>
      </c>
      <c r="F53" s="121">
        <v>2009</v>
      </c>
      <c r="G53" s="121" t="s">
        <v>83</v>
      </c>
      <c r="H53" s="121">
        <v>9</v>
      </c>
      <c r="I53" s="121">
        <v>1</v>
      </c>
      <c r="J53" s="107">
        <v>3320.9</v>
      </c>
      <c r="K53" s="107">
        <v>2870.8</v>
      </c>
      <c r="L53" s="107">
        <v>0</v>
      </c>
      <c r="M53" s="122">
        <v>115</v>
      </c>
      <c r="N53" s="123">
        <f t="shared" si="12"/>
        <v>1888185.6276605655</v>
      </c>
      <c r="O53" s="107"/>
      <c r="P53" s="108"/>
      <c r="Q53" s="108"/>
      <c r="R53" s="108">
        <f>+'Приложение №2'!E53</f>
        <v>1888185.6276605655</v>
      </c>
      <c r="S53" s="108"/>
      <c r="T53" s="107">
        <f>+'Приложение №2'!E53-'Приложение №1'!P53-'Приложение №1'!Q53-'Приложение №1'!R53-'Приложение №1'!S53</f>
        <v>0</v>
      </c>
      <c r="U53" s="108">
        <f t="shared" si="17"/>
        <v>657.7210630000576</v>
      </c>
      <c r="V53" s="108">
        <f t="shared" si="17"/>
        <v>657.7210630000576</v>
      </c>
      <c r="W53" s="135">
        <v>2022</v>
      </c>
      <c r="X53" s="28" t="e">
        <f>+#REF!-'[1]Приложение №1'!$P981</f>
        <v>#REF!</v>
      </c>
      <c r="Z53" s="30">
        <f t="shared" si="20"/>
        <v>3421512.8588040192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/>
      <c r="AG53" s="26">
        <v>0</v>
      </c>
      <c r="AH53" s="26">
        <v>0</v>
      </c>
      <c r="AI53" s="26">
        <v>3013463.2352630515</v>
      </c>
      <c r="AJ53" s="26">
        <v>0</v>
      </c>
      <c r="AK53" s="26">
        <v>0</v>
      </c>
      <c r="AL53" s="26">
        <v>0</v>
      </c>
      <c r="AM53" s="26">
        <v>307936.15729236172</v>
      </c>
      <c r="AN53" s="31">
        <v>34215.128588040192</v>
      </c>
      <c r="AO53" s="32">
        <v>65898.337660565405</v>
      </c>
      <c r="AP53" s="77">
        <f>+N53-'Приложение №2'!E53</f>
        <v>0</v>
      </c>
      <c r="AQ53" s="1">
        <v>1773302.69</v>
      </c>
      <c r="AR53" s="1">
        <f>+(K53*13.29+L53*22.52)*12*0.85</f>
        <v>389159.90639999998</v>
      </c>
      <c r="AS53" s="1">
        <f>+(K53*13.29+L53*22.52)*12*30</f>
        <v>13735055.52</v>
      </c>
      <c r="AT53" s="28">
        <f t="shared" si="9"/>
        <v>-13735055.52</v>
      </c>
    </row>
    <row r="54" spans="1:46" x14ac:dyDescent="0.25">
      <c r="A54" s="72">
        <f t="shared" si="10"/>
        <v>37</v>
      </c>
      <c r="B54" s="73">
        <f t="shared" si="11"/>
        <v>37</v>
      </c>
      <c r="C54" s="73" t="s">
        <v>82</v>
      </c>
      <c r="D54" s="120" t="s">
        <v>297</v>
      </c>
      <c r="E54" s="121">
        <v>1995</v>
      </c>
      <c r="F54" s="121">
        <v>2007</v>
      </c>
      <c r="G54" s="121" t="s">
        <v>83</v>
      </c>
      <c r="H54" s="121">
        <v>9</v>
      </c>
      <c r="I54" s="121">
        <v>3</v>
      </c>
      <c r="J54" s="107">
        <v>8715.5</v>
      </c>
      <c r="K54" s="107">
        <v>7251.1</v>
      </c>
      <c r="L54" s="107">
        <v>660.9</v>
      </c>
      <c r="M54" s="122">
        <v>283</v>
      </c>
      <c r="N54" s="123">
        <f t="shared" si="12"/>
        <v>22074493.370000001</v>
      </c>
      <c r="O54" s="107"/>
      <c r="P54" s="108">
        <v>20694835.300000001</v>
      </c>
      <c r="Q54" s="110"/>
      <c r="R54" s="110">
        <v>1379658.07</v>
      </c>
      <c r="S54" s="108"/>
      <c r="T54" s="107"/>
      <c r="U54" s="108">
        <f t="shared" si="17"/>
        <v>2790.0016898382205</v>
      </c>
      <c r="V54" s="108">
        <f t="shared" si="17"/>
        <v>2790.0016898382205</v>
      </c>
      <c r="W54" s="135">
        <v>2022</v>
      </c>
      <c r="X54" s="28" t="e">
        <f>+#REF!-'[1]Приложение №1'!#REF!</f>
        <v>#REF!</v>
      </c>
      <c r="Z54" s="30">
        <f t="shared" si="20"/>
        <v>47583718.340731375</v>
      </c>
      <c r="AA54" s="26">
        <v>17694269.116222665</v>
      </c>
      <c r="AB54" s="26">
        <v>7079395.2241015183</v>
      </c>
      <c r="AC54" s="26">
        <v>5228826.4103661133</v>
      </c>
      <c r="AD54" s="26">
        <v>3341459.7872589645</v>
      </c>
      <c r="AE54" s="26">
        <v>0</v>
      </c>
      <c r="AF54" s="26"/>
      <c r="AG54" s="26">
        <v>786131.68027933023</v>
      </c>
      <c r="AH54" s="26">
        <v>0</v>
      </c>
      <c r="AI54" s="26">
        <v>7743707.0462670354</v>
      </c>
      <c r="AJ54" s="26">
        <v>0</v>
      </c>
      <c r="AK54" s="26">
        <v>0</v>
      </c>
      <c r="AL54" s="26">
        <v>0</v>
      </c>
      <c r="AM54" s="26">
        <v>4318396.9303716524</v>
      </c>
      <c r="AN54" s="31">
        <v>475837.18340731377</v>
      </c>
      <c r="AO54" s="32">
        <v>915694.96245678177</v>
      </c>
      <c r="AP54" s="77">
        <f>+N54-'Приложение №2'!E54</f>
        <v>0</v>
      </c>
      <c r="AR54" s="1">
        <f>+(K54*13.29+L54*22.52)*12*0.85</f>
        <v>1134755.9873999998</v>
      </c>
      <c r="AT54" s="28"/>
    </row>
    <row r="55" spans="1:46" x14ac:dyDescent="0.25">
      <c r="A55" s="72">
        <f t="shared" si="10"/>
        <v>38</v>
      </c>
      <c r="B55" s="73">
        <f t="shared" si="11"/>
        <v>38</v>
      </c>
      <c r="C55" s="73" t="s">
        <v>51</v>
      </c>
      <c r="D55" s="120" t="s">
        <v>379</v>
      </c>
      <c r="E55" s="121">
        <v>1995</v>
      </c>
      <c r="F55" s="121">
        <v>1995</v>
      </c>
      <c r="G55" s="121" t="s">
        <v>83</v>
      </c>
      <c r="H55" s="121">
        <v>2</v>
      </c>
      <c r="I55" s="121">
        <v>2</v>
      </c>
      <c r="J55" s="107">
        <v>1067.3</v>
      </c>
      <c r="K55" s="107">
        <v>984.4</v>
      </c>
      <c r="L55" s="107">
        <v>0</v>
      </c>
      <c r="M55" s="122">
        <v>43</v>
      </c>
      <c r="N55" s="123">
        <f t="shared" si="12"/>
        <v>12738229.499971399</v>
      </c>
      <c r="O55" s="107"/>
      <c r="P55" s="108">
        <f>4026047.45-[3]Лист1!$I$15</f>
        <v>0</v>
      </c>
      <c r="Q55" s="108"/>
      <c r="R55" s="108">
        <f>+AQ55+AR55</f>
        <v>543386.6</v>
      </c>
      <c r="S55" s="108">
        <f>+AS55</f>
        <v>3543840</v>
      </c>
      <c r="T55" s="107">
        <f>4624955.4499714+[3]Лист1!$I$15</f>
        <v>8651002.8999713995</v>
      </c>
      <c r="U55" s="108">
        <f t="shared" si="17"/>
        <v>12940.094981685696</v>
      </c>
      <c r="V55" s="108">
        <f t="shared" si="17"/>
        <v>12940.094981685696</v>
      </c>
      <c r="W55" s="135">
        <v>2022</v>
      </c>
      <c r="X55" s="28" t="e">
        <f>+#REF!-'[1]Приложение №1'!$P988</f>
        <v>#REF!</v>
      </c>
      <c r="Z55" s="30">
        <f t="shared" si="20"/>
        <v>16450906</v>
      </c>
      <c r="AA55" s="26">
        <v>1648275.62422068</v>
      </c>
      <c r="AB55" s="26">
        <v>0</v>
      </c>
      <c r="AC55" s="26">
        <v>1007648.27936304</v>
      </c>
      <c r="AD55" s="26">
        <v>768340.37867075996</v>
      </c>
      <c r="AE55" s="26">
        <v>0</v>
      </c>
      <c r="AF55" s="26"/>
      <c r="AG55" s="26">
        <v>81902.381790599989</v>
      </c>
      <c r="AH55" s="26">
        <v>0</v>
      </c>
      <c r="AI55" s="26">
        <v>2934181.5756624001</v>
      </c>
      <c r="AJ55" s="26">
        <v>0</v>
      </c>
      <c r="AK55" s="26">
        <v>5696730.1661940608</v>
      </c>
      <c r="AL55" s="26">
        <v>2240450.9097830998</v>
      </c>
      <c r="AM55" s="26">
        <v>1594460.1776000001</v>
      </c>
      <c r="AN55" s="31">
        <v>164509.06</v>
      </c>
      <c r="AO55" s="32">
        <v>314407.44671536004</v>
      </c>
      <c r="AP55" s="77">
        <f>+N55-'Приложение №2'!E55</f>
        <v>0</v>
      </c>
      <c r="AQ55" s="1">
        <v>442977.8</v>
      </c>
      <c r="AR55" s="1">
        <f t="shared" ref="AR55:AR66" si="21">+(K55*10+L55*20)*12*0.85</f>
        <v>100408.8</v>
      </c>
      <c r="AS55" s="1">
        <f t="shared" ref="AS55:AS62" si="22">+(K55*10+L55*20)*12*30</f>
        <v>3543840</v>
      </c>
      <c r="AT55" s="28">
        <f t="shared" si="9"/>
        <v>0</v>
      </c>
    </row>
    <row r="56" spans="1:46" x14ac:dyDescent="0.25">
      <c r="A56" s="72">
        <f t="shared" si="10"/>
        <v>39</v>
      </c>
      <c r="B56" s="73">
        <f t="shared" si="11"/>
        <v>39</v>
      </c>
      <c r="C56" s="73" t="s">
        <v>51</v>
      </c>
      <c r="D56" s="120" t="s">
        <v>380</v>
      </c>
      <c r="E56" s="121">
        <v>1999</v>
      </c>
      <c r="F56" s="121">
        <v>2011</v>
      </c>
      <c r="G56" s="121" t="s">
        <v>43</v>
      </c>
      <c r="H56" s="121">
        <v>4</v>
      </c>
      <c r="I56" s="121">
        <v>3</v>
      </c>
      <c r="J56" s="107">
        <v>1789.4</v>
      </c>
      <c r="K56" s="107">
        <v>1789.4</v>
      </c>
      <c r="L56" s="107">
        <v>0</v>
      </c>
      <c r="M56" s="122">
        <v>56</v>
      </c>
      <c r="N56" s="123">
        <f t="shared" si="12"/>
        <v>10031683.765631996</v>
      </c>
      <c r="O56" s="107"/>
      <c r="P56" s="108">
        <v>1115147.8799999999</v>
      </c>
      <c r="Q56" s="108"/>
      <c r="R56" s="108">
        <v>889415</v>
      </c>
      <c r="S56" s="108">
        <f>+AS56</f>
        <v>6441840</v>
      </c>
      <c r="T56" s="107">
        <f>+'Приложение №2'!E56-'Приложение №1'!P56-'Приложение №1'!Q56-'Приложение №1'!R56-'Приложение №1'!S56</f>
        <v>1585280.8856319971</v>
      </c>
      <c r="U56" s="108">
        <f t="shared" si="17"/>
        <v>5606.1717702201831</v>
      </c>
      <c r="V56" s="108">
        <f t="shared" si="17"/>
        <v>5606.1717702201831</v>
      </c>
      <c r="W56" s="135">
        <v>2022</v>
      </c>
      <c r="X56" s="28" t="e">
        <f>+#REF!-'[1]Приложение №1'!$P989</f>
        <v>#REF!</v>
      </c>
      <c r="Z56" s="30">
        <f t="shared" si="20"/>
        <v>15155840.090000002</v>
      </c>
      <c r="AA56" s="26">
        <v>3843679.5940452004</v>
      </c>
      <c r="AB56" s="26">
        <v>0</v>
      </c>
      <c r="AC56" s="26">
        <v>1430991.0437205599</v>
      </c>
      <c r="AD56" s="26">
        <v>895890.8758312799</v>
      </c>
      <c r="AE56" s="26">
        <v>0</v>
      </c>
      <c r="AF56" s="26"/>
      <c r="AG56" s="26">
        <v>147492.512475</v>
      </c>
      <c r="AH56" s="26">
        <v>0</v>
      </c>
      <c r="AI56" s="26">
        <v>7026831.1230768003</v>
      </c>
      <c r="AJ56" s="26">
        <v>0</v>
      </c>
      <c r="AK56" s="26">
        <v>0</v>
      </c>
      <c r="AL56" s="26">
        <v>0</v>
      </c>
      <c r="AM56" s="26">
        <v>1367570.9297000002</v>
      </c>
      <c r="AN56" s="31">
        <v>151558.40090000001</v>
      </c>
      <c r="AO56" s="32">
        <v>291825.61025115999</v>
      </c>
      <c r="AP56" s="77">
        <f>+N56-'Приложение №2'!E56</f>
        <v>0</v>
      </c>
      <c r="AQ56" s="1">
        <v>725047.53</v>
      </c>
      <c r="AR56" s="1">
        <f t="shared" si="21"/>
        <v>182518.8</v>
      </c>
      <c r="AS56" s="1">
        <f t="shared" si="22"/>
        <v>6441840</v>
      </c>
      <c r="AT56" s="28">
        <f t="shared" si="9"/>
        <v>0</v>
      </c>
    </row>
    <row r="57" spans="1:46" x14ac:dyDescent="0.25">
      <c r="A57" s="72">
        <f t="shared" si="10"/>
        <v>40</v>
      </c>
      <c r="B57" s="73">
        <f t="shared" si="11"/>
        <v>40</v>
      </c>
      <c r="C57" s="73" t="s">
        <v>51</v>
      </c>
      <c r="D57" s="120" t="s">
        <v>381</v>
      </c>
      <c r="E57" s="121">
        <v>1995</v>
      </c>
      <c r="F57" s="121">
        <v>2013</v>
      </c>
      <c r="G57" s="121" t="s">
        <v>83</v>
      </c>
      <c r="H57" s="121">
        <v>5</v>
      </c>
      <c r="I57" s="121">
        <v>4</v>
      </c>
      <c r="J57" s="107">
        <v>4929.5</v>
      </c>
      <c r="K57" s="107">
        <v>4328.8999999999996</v>
      </c>
      <c r="L57" s="107">
        <v>0</v>
      </c>
      <c r="M57" s="122">
        <v>159</v>
      </c>
      <c r="N57" s="123">
        <f t="shared" si="12"/>
        <v>7884285.4414625987</v>
      </c>
      <c r="O57" s="107"/>
      <c r="P57" s="108"/>
      <c r="Q57" s="108"/>
      <c r="R57" s="108">
        <f>779149.58+123154.11</f>
        <v>902303.69</v>
      </c>
      <c r="S57" s="108">
        <f>+'Приложение №2'!E57-'Приложение №1'!R57-P57</f>
        <v>6981981.7514625993</v>
      </c>
      <c r="T57" s="107">
        <f>+'Приложение №2'!E57-'Приложение №1'!P57-'Приложение №1'!Q57-'Приложение №1'!R57-'Приложение №1'!S57</f>
        <v>0</v>
      </c>
      <c r="U57" s="108">
        <f t="shared" si="17"/>
        <v>1821.3138306411788</v>
      </c>
      <c r="V57" s="108">
        <f t="shared" si="17"/>
        <v>1821.3138306411788</v>
      </c>
      <c r="W57" s="135">
        <v>2022</v>
      </c>
      <c r="X57" s="28" t="e">
        <f>+#REF!-'[1]Приложение №1'!$P992</f>
        <v>#REF!</v>
      </c>
      <c r="Z57" s="30">
        <f t="shared" si="20"/>
        <v>77122932.980000004</v>
      </c>
      <c r="AA57" s="26">
        <v>7245200.61515796</v>
      </c>
      <c r="AB57" s="26">
        <v>4190097.5862702606</v>
      </c>
      <c r="AC57" s="26">
        <v>4429243.3865698203</v>
      </c>
      <c r="AD57" s="26">
        <v>3377335.7392437602</v>
      </c>
      <c r="AE57" s="26">
        <v>0</v>
      </c>
      <c r="AF57" s="26"/>
      <c r="AG57" s="26">
        <v>360012.11029559997</v>
      </c>
      <c r="AH57" s="26">
        <v>0</v>
      </c>
      <c r="AI57" s="26">
        <v>12897560.1974562</v>
      </c>
      <c r="AJ57" s="26">
        <v>0</v>
      </c>
      <c r="AK57" s="26">
        <v>25040686.283834342</v>
      </c>
      <c r="AL57" s="26">
        <v>9848180.7538505998</v>
      </c>
      <c r="AM57" s="26">
        <v>7489740.9763000011</v>
      </c>
      <c r="AN57" s="31">
        <v>771229.32980000007</v>
      </c>
      <c r="AO57" s="32">
        <v>1473646.0012214603</v>
      </c>
      <c r="AP57" s="77">
        <f>+N57-'Приложение №2'!E57</f>
        <v>0</v>
      </c>
      <c r="AQ57" s="1">
        <v>1948762.98</v>
      </c>
      <c r="AR57" s="1">
        <f t="shared" si="21"/>
        <v>441547.8</v>
      </c>
      <c r="AS57" s="1">
        <f t="shared" si="22"/>
        <v>15584040</v>
      </c>
      <c r="AT57" s="28">
        <f t="shared" si="9"/>
        <v>-8602058.2485374007</v>
      </c>
    </row>
    <row r="58" spans="1:46" x14ac:dyDescent="0.25">
      <c r="A58" s="72">
        <f t="shared" si="10"/>
        <v>41</v>
      </c>
      <c r="B58" s="73">
        <f t="shared" si="11"/>
        <v>41</v>
      </c>
      <c r="C58" s="73" t="s">
        <v>51</v>
      </c>
      <c r="D58" s="120" t="s">
        <v>382</v>
      </c>
      <c r="E58" s="121">
        <v>1983</v>
      </c>
      <c r="F58" s="121">
        <v>1983</v>
      </c>
      <c r="G58" s="121" t="s">
        <v>43</v>
      </c>
      <c r="H58" s="121">
        <v>2</v>
      </c>
      <c r="I58" s="121">
        <v>2</v>
      </c>
      <c r="J58" s="107">
        <v>712.2</v>
      </c>
      <c r="K58" s="107">
        <v>635.1</v>
      </c>
      <c r="L58" s="107">
        <v>0</v>
      </c>
      <c r="M58" s="122">
        <v>33</v>
      </c>
      <c r="N58" s="123">
        <f t="shared" ref="N58:N88" si="23">+P58+Q58+R58+S58+T58</f>
        <v>12731761.317324182</v>
      </c>
      <c r="O58" s="107"/>
      <c r="P58" s="108">
        <v>2482138.8099999996</v>
      </c>
      <c r="Q58" s="108"/>
      <c r="R58" s="108">
        <f>+AQ58+AR58</f>
        <v>366253.68</v>
      </c>
      <c r="S58" s="108">
        <f>+AS58</f>
        <v>2286360</v>
      </c>
      <c r="T58" s="107">
        <f>+'Приложение №2'!E58-'Приложение №1'!P58-'Приложение №1'!Q58-'Приложение №1'!R58-'Приложение №1'!S58</f>
        <v>7597008.8273241818</v>
      </c>
      <c r="U58" s="108">
        <f t="shared" si="17"/>
        <v>20046.860836599248</v>
      </c>
      <c r="V58" s="108">
        <f t="shared" si="17"/>
        <v>20046.860836599248</v>
      </c>
      <c r="W58" s="135">
        <v>2022</v>
      </c>
      <c r="X58" s="28" t="e">
        <f>+#REF!-'[1]Приложение №1'!$P819</f>
        <v>#REF!</v>
      </c>
      <c r="Z58" s="30">
        <f t="shared" si="20"/>
        <v>20279025.380000006</v>
      </c>
      <c r="AA58" s="26">
        <v>1948967.0178451203</v>
      </c>
      <c r="AB58" s="26">
        <v>0</v>
      </c>
      <c r="AC58" s="26">
        <v>558813.84979433985</v>
      </c>
      <c r="AD58" s="26">
        <v>476227.19575200003</v>
      </c>
      <c r="AE58" s="26">
        <v>0</v>
      </c>
      <c r="AF58" s="26"/>
      <c r="AG58" s="26">
        <v>198888.25194671997</v>
      </c>
      <c r="AH58" s="26">
        <v>0</v>
      </c>
      <c r="AI58" s="26">
        <v>5638041.5737464009</v>
      </c>
      <c r="AJ58" s="26">
        <v>0</v>
      </c>
      <c r="AK58" s="26">
        <v>4610023.2322851</v>
      </c>
      <c r="AL58" s="26">
        <v>4338269.1668022005</v>
      </c>
      <c r="AM58" s="26">
        <v>1918427.7604</v>
      </c>
      <c r="AN58" s="31">
        <v>202790.25380000001</v>
      </c>
      <c r="AO58" s="32">
        <v>388577.07762811997</v>
      </c>
      <c r="AP58" s="77">
        <f>+N58-'Приложение №2'!E58</f>
        <v>0</v>
      </c>
      <c r="AQ58" s="1">
        <v>301473.48</v>
      </c>
      <c r="AR58" s="1">
        <f t="shared" si="21"/>
        <v>64780.2</v>
      </c>
      <c r="AS58" s="1">
        <f t="shared" si="22"/>
        <v>2286360</v>
      </c>
      <c r="AT58" s="28">
        <f t="shared" si="9"/>
        <v>0</v>
      </c>
    </row>
    <row r="59" spans="1:46" x14ac:dyDescent="0.25">
      <c r="A59" s="72">
        <f t="shared" si="10"/>
        <v>42</v>
      </c>
      <c r="B59" s="73">
        <f t="shared" si="11"/>
        <v>42</v>
      </c>
      <c r="C59" s="73" t="s">
        <v>51</v>
      </c>
      <c r="D59" s="120" t="s">
        <v>383</v>
      </c>
      <c r="E59" s="121">
        <v>1979</v>
      </c>
      <c r="F59" s="121">
        <v>1979</v>
      </c>
      <c r="G59" s="121" t="s">
        <v>83</v>
      </c>
      <c r="H59" s="121">
        <v>4</v>
      </c>
      <c r="I59" s="121">
        <v>4</v>
      </c>
      <c r="J59" s="107">
        <v>4000.3</v>
      </c>
      <c r="K59" s="107">
        <v>3434.6</v>
      </c>
      <c r="L59" s="107">
        <v>0</v>
      </c>
      <c r="M59" s="122">
        <v>77</v>
      </c>
      <c r="N59" s="123">
        <f t="shared" si="23"/>
        <v>7296497.5090870196</v>
      </c>
      <c r="O59" s="107"/>
      <c r="P59" s="108"/>
      <c r="Q59" s="108"/>
      <c r="R59" s="108">
        <v>1019742.18</v>
      </c>
      <c r="S59" s="108">
        <f>+'Приложение №2'!E59-'Приложение №1'!R59</f>
        <v>6276755.3290870199</v>
      </c>
      <c r="T59" s="107">
        <f>+'Приложение №2'!E59-'Приложение №1'!P59-'Приложение №1'!Q59-'Приложение №1'!R59-'Приложение №1'!S59</f>
        <v>0</v>
      </c>
      <c r="U59" s="108">
        <f t="shared" si="17"/>
        <v>2124.4096864517032</v>
      </c>
      <c r="V59" s="108">
        <f t="shared" si="17"/>
        <v>2124.4096864517032</v>
      </c>
      <c r="W59" s="135">
        <v>2022</v>
      </c>
      <c r="X59" s="28" t="e">
        <f>+#REF!-'[1]Приложение №1'!$P999</f>
        <v>#REF!</v>
      </c>
      <c r="Z59" s="30">
        <f t="shared" si="20"/>
        <v>19726119.920000002</v>
      </c>
      <c r="AA59" s="26">
        <v>5852855.9652763205</v>
      </c>
      <c r="AB59" s="26">
        <v>3384866.6112261005</v>
      </c>
      <c r="AC59" s="26">
        <v>3578054.6250359397</v>
      </c>
      <c r="AD59" s="26">
        <v>2728297.0723629599</v>
      </c>
      <c r="AE59" s="26">
        <v>1089898.8321589197</v>
      </c>
      <c r="AF59" s="26"/>
      <c r="AG59" s="26">
        <v>290826.87134760001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2233947.6464</v>
      </c>
      <c r="AN59" s="31">
        <v>197261.19919999997</v>
      </c>
      <c r="AO59" s="32">
        <v>370111.09699215996</v>
      </c>
      <c r="AP59" s="77">
        <f>+N59-'Приложение №2'!E59</f>
        <v>0</v>
      </c>
      <c r="AQ59" s="1">
        <v>1726106.62</v>
      </c>
      <c r="AR59" s="1">
        <f t="shared" si="21"/>
        <v>350329.2</v>
      </c>
      <c r="AS59" s="1">
        <f t="shared" si="22"/>
        <v>12364560</v>
      </c>
      <c r="AT59" s="28">
        <f t="shared" si="9"/>
        <v>-6087804.6709129801</v>
      </c>
    </row>
    <row r="60" spans="1:46" x14ac:dyDescent="0.25">
      <c r="A60" s="72">
        <f t="shared" si="10"/>
        <v>43</v>
      </c>
      <c r="B60" s="73">
        <f t="shared" si="11"/>
        <v>43</v>
      </c>
      <c r="C60" s="73" t="s">
        <v>51</v>
      </c>
      <c r="D60" s="120" t="s">
        <v>384</v>
      </c>
      <c r="E60" s="121">
        <v>1986</v>
      </c>
      <c r="F60" s="121">
        <v>2013</v>
      </c>
      <c r="G60" s="121" t="s">
        <v>83</v>
      </c>
      <c r="H60" s="121">
        <v>4</v>
      </c>
      <c r="I60" s="121">
        <v>2</v>
      </c>
      <c r="J60" s="107">
        <v>3830.7</v>
      </c>
      <c r="K60" s="107">
        <v>3476.2</v>
      </c>
      <c r="L60" s="107">
        <v>0</v>
      </c>
      <c r="M60" s="122">
        <v>146</v>
      </c>
      <c r="N60" s="123">
        <f t="shared" si="23"/>
        <v>50935943.967325002</v>
      </c>
      <c r="O60" s="107"/>
      <c r="P60" s="108">
        <f>2138367.31+417072.01</f>
        <v>2555439.3200000003</v>
      </c>
      <c r="Q60" s="108"/>
      <c r="R60" s="108">
        <v>1738606.72</v>
      </c>
      <c r="S60" s="108">
        <f>+AS60</f>
        <v>12514320</v>
      </c>
      <c r="T60" s="107">
        <f>+'Приложение №2'!E60-'Приложение №1'!P60-'Приложение №1'!Q60-'Приложение №1'!R60-'Приложение №1'!S60</f>
        <v>34127577.927325003</v>
      </c>
      <c r="U60" s="108">
        <f t="shared" si="17"/>
        <v>14652.765654256085</v>
      </c>
      <c r="V60" s="108">
        <f t="shared" si="17"/>
        <v>14652.765654256085</v>
      </c>
      <c r="W60" s="135">
        <v>2022</v>
      </c>
      <c r="X60" s="28" t="e">
        <f>+#REF!-'[1]Приложение №1'!$P819</f>
        <v>#REF!</v>
      </c>
      <c r="Z60" s="30">
        <f t="shared" si="20"/>
        <v>63545858.419999994</v>
      </c>
      <c r="AA60" s="26">
        <v>5818965.56459946</v>
      </c>
      <c r="AB60" s="26">
        <v>3365266.8627295201</v>
      </c>
      <c r="AC60" s="26">
        <v>3557336.2493503802</v>
      </c>
      <c r="AD60" s="26">
        <v>2712499.1287925998</v>
      </c>
      <c r="AE60" s="26">
        <v>1083587.8791200402</v>
      </c>
      <c r="AF60" s="26"/>
      <c r="AG60" s="26">
        <v>289142.86613099999</v>
      </c>
      <c r="AH60" s="26">
        <v>0</v>
      </c>
      <c r="AI60" s="26">
        <v>10358644.6581282</v>
      </c>
      <c r="AJ60" s="26">
        <v>0</v>
      </c>
      <c r="AK60" s="26">
        <v>20111367.36101808</v>
      </c>
      <c r="AL60" s="26">
        <v>7909542.8401185004</v>
      </c>
      <c r="AM60" s="26">
        <v>6496795.2884999998</v>
      </c>
      <c r="AN60" s="31">
        <v>635458.58420000004</v>
      </c>
      <c r="AO60" s="32">
        <v>1207251.1373122202</v>
      </c>
      <c r="AP60" s="77">
        <f>+N60-'Приложение №2'!E60</f>
        <v>0</v>
      </c>
      <c r="AQ60" s="1">
        <f>1393126.98-102965.87</f>
        <v>1290161.1099999999</v>
      </c>
      <c r="AR60" s="1">
        <f t="shared" si="21"/>
        <v>354572.39999999997</v>
      </c>
      <c r="AS60" s="1">
        <f t="shared" si="22"/>
        <v>12514320</v>
      </c>
      <c r="AT60" s="28">
        <f t="shared" si="9"/>
        <v>0</v>
      </c>
    </row>
    <row r="61" spans="1:46" x14ac:dyDescent="0.25">
      <c r="A61" s="72">
        <f t="shared" si="10"/>
        <v>44</v>
      </c>
      <c r="B61" s="73">
        <f t="shared" si="11"/>
        <v>44</v>
      </c>
      <c r="C61" s="73" t="s">
        <v>51</v>
      </c>
      <c r="D61" s="120" t="s">
        <v>385</v>
      </c>
      <c r="E61" s="121">
        <v>1991</v>
      </c>
      <c r="F61" s="121">
        <v>1991</v>
      </c>
      <c r="G61" s="121" t="s">
        <v>83</v>
      </c>
      <c r="H61" s="121">
        <v>2</v>
      </c>
      <c r="I61" s="121">
        <v>2</v>
      </c>
      <c r="J61" s="107">
        <v>704.8</v>
      </c>
      <c r="K61" s="107">
        <v>502.8</v>
      </c>
      <c r="L61" s="107">
        <v>0</v>
      </c>
      <c r="M61" s="122">
        <v>51</v>
      </c>
      <c r="N61" s="123">
        <f t="shared" si="23"/>
        <v>9358782.4640582055</v>
      </c>
      <c r="O61" s="107"/>
      <c r="P61" s="108">
        <v>6547481.0700000003</v>
      </c>
      <c r="Q61" s="108"/>
      <c r="R61" s="108">
        <f>+AQ61+AR61</f>
        <v>231480.48</v>
      </c>
      <c r="S61" s="108">
        <f>+'Приложение №2'!E61-'Приложение №1'!P61-'Приложение №1'!Q61-'Приложение №1'!R61</f>
        <v>2579820.9140582052</v>
      </c>
      <c r="T61" s="107">
        <f>+'Приложение №2'!E61-'Приложение №1'!P61-'Приложение №1'!Q61-'Приложение №1'!R61-'Приложение №1'!S61</f>
        <v>0</v>
      </c>
      <c r="U61" s="108">
        <f t="shared" si="17"/>
        <v>18613.330278556496</v>
      </c>
      <c r="V61" s="108">
        <f t="shared" si="17"/>
        <v>18613.330278556496</v>
      </c>
      <c r="W61" s="135">
        <v>2022</v>
      </c>
      <c r="X61" s="28" t="e">
        <f>+#REF!-'[1]Приложение №1'!$P1003</f>
        <v>#REF!</v>
      </c>
      <c r="Z61" s="30">
        <f t="shared" si="20"/>
        <v>10159649.210588206</v>
      </c>
      <c r="AA61" s="26">
        <v>1119793.79</v>
      </c>
      <c r="AB61" s="26">
        <v>0</v>
      </c>
      <c r="AC61" s="26">
        <v>319144.83</v>
      </c>
      <c r="AD61" s="26">
        <v>0</v>
      </c>
      <c r="AE61" s="26">
        <v>0</v>
      </c>
      <c r="AF61" s="26"/>
      <c r="AG61" s="26">
        <v>51441.136530000003</v>
      </c>
      <c r="AH61" s="26">
        <v>0</v>
      </c>
      <c r="AI61" s="26">
        <v>3034353.13</v>
      </c>
      <c r="AJ61" s="26">
        <v>0</v>
      </c>
      <c r="AK61" s="26">
        <v>3213076.97</v>
      </c>
      <c r="AL61" s="26">
        <v>2003686.6</v>
      </c>
      <c r="AM61" s="26">
        <v>222088.61</v>
      </c>
      <c r="AN61" s="26">
        <v>64189.444058208501</v>
      </c>
      <c r="AO61" s="32">
        <v>131874.70000000001</v>
      </c>
      <c r="AP61" s="77">
        <f>+N61-'Приложение №2'!E61</f>
        <v>0</v>
      </c>
      <c r="AQ61" s="1">
        <v>180194.88</v>
      </c>
      <c r="AR61" s="1">
        <f t="shared" si="21"/>
        <v>51285.599999999999</v>
      </c>
      <c r="AS61" s="1">
        <f t="shared" si="22"/>
        <v>1810080</v>
      </c>
      <c r="AT61" s="28">
        <f t="shared" si="9"/>
        <v>769740.91405820521</v>
      </c>
    </row>
    <row r="62" spans="1:46" x14ac:dyDescent="0.25">
      <c r="A62" s="72">
        <f t="shared" si="10"/>
        <v>45</v>
      </c>
      <c r="B62" s="73">
        <f t="shared" si="11"/>
        <v>45</v>
      </c>
      <c r="C62" s="73" t="s">
        <v>51</v>
      </c>
      <c r="D62" s="120" t="s">
        <v>386</v>
      </c>
      <c r="E62" s="121">
        <v>1985</v>
      </c>
      <c r="F62" s="121">
        <v>1985</v>
      </c>
      <c r="G62" s="121" t="s">
        <v>43</v>
      </c>
      <c r="H62" s="121">
        <v>2</v>
      </c>
      <c r="I62" s="121">
        <v>2</v>
      </c>
      <c r="J62" s="107">
        <v>687.7</v>
      </c>
      <c r="K62" s="107">
        <v>539.6</v>
      </c>
      <c r="L62" s="107">
        <v>0</v>
      </c>
      <c r="M62" s="122">
        <v>34</v>
      </c>
      <c r="N62" s="123">
        <f t="shared" si="23"/>
        <v>495705.70943093998</v>
      </c>
      <c r="O62" s="134"/>
      <c r="P62" s="108"/>
      <c r="Q62" s="108"/>
      <c r="R62" s="108">
        <f>+AQ62+AR62</f>
        <v>238828.53999999998</v>
      </c>
      <c r="S62" s="108">
        <f>+'Приложение №2'!E62-'Приложение №1'!R62</f>
        <v>256877.16943094</v>
      </c>
      <c r="T62" s="107">
        <f>+'Приложение №2'!E62-'Приложение №1'!P62-'Приложение №1'!Q62-'Приложение №1'!R62-'Приложение №1'!S62</f>
        <v>0</v>
      </c>
      <c r="U62" s="108">
        <f t="shared" si="17"/>
        <v>918.65402044280938</v>
      </c>
      <c r="V62" s="108">
        <f t="shared" si="17"/>
        <v>918.65402044280938</v>
      </c>
      <c r="W62" s="135">
        <v>2022</v>
      </c>
      <c r="X62" s="28" t="e">
        <f>+#REF!-'[1]Приложение №1'!$P623</f>
        <v>#REF!</v>
      </c>
      <c r="Z62" s="30">
        <f t="shared" si="20"/>
        <v>10532880.890000001</v>
      </c>
      <c r="AA62" s="26">
        <v>0</v>
      </c>
      <c r="AB62" s="26">
        <v>0</v>
      </c>
      <c r="AC62" s="26">
        <v>539214.05775006011</v>
      </c>
      <c r="AD62" s="26">
        <v>0</v>
      </c>
      <c r="AE62" s="26">
        <v>0</v>
      </c>
      <c r="AF62" s="26"/>
      <c r="AG62" s="26">
        <v>0</v>
      </c>
      <c r="AH62" s="26">
        <v>0</v>
      </c>
      <c r="AI62" s="26">
        <v>0</v>
      </c>
      <c r="AJ62" s="26">
        <v>0</v>
      </c>
      <c r="AK62" s="26">
        <v>4448331.6324917404</v>
      </c>
      <c r="AL62" s="26">
        <v>4186109.0524272607</v>
      </c>
      <c r="AM62" s="26">
        <v>1053288.0889999999</v>
      </c>
      <c r="AN62" s="31">
        <v>105328.8089</v>
      </c>
      <c r="AO62" s="32">
        <v>200609.24943093999</v>
      </c>
      <c r="AP62" s="77">
        <f>+N62-'Приложение №2'!E62</f>
        <v>0</v>
      </c>
      <c r="AQ62" s="1">
        <v>183789.34</v>
      </c>
      <c r="AR62" s="1">
        <f t="shared" si="21"/>
        <v>55039.199999999997</v>
      </c>
      <c r="AS62" s="1">
        <f t="shared" si="22"/>
        <v>1942560</v>
      </c>
      <c r="AT62" s="28">
        <f t="shared" si="9"/>
        <v>-1685682.8305690601</v>
      </c>
    </row>
    <row r="63" spans="1:46" x14ac:dyDescent="0.25">
      <c r="A63" s="72">
        <f t="shared" si="10"/>
        <v>46</v>
      </c>
      <c r="B63" s="73">
        <f t="shared" si="11"/>
        <v>46</v>
      </c>
      <c r="C63" s="73" t="s">
        <v>51</v>
      </c>
      <c r="D63" s="120" t="s">
        <v>387</v>
      </c>
      <c r="E63" s="121">
        <v>1986</v>
      </c>
      <c r="F63" s="121">
        <v>1986</v>
      </c>
      <c r="G63" s="121" t="s">
        <v>43</v>
      </c>
      <c r="H63" s="121">
        <v>2</v>
      </c>
      <c r="I63" s="121">
        <v>2</v>
      </c>
      <c r="J63" s="107">
        <v>683.3</v>
      </c>
      <c r="K63" s="107">
        <v>610.4</v>
      </c>
      <c r="L63" s="107">
        <v>0</v>
      </c>
      <c r="M63" s="122">
        <v>44</v>
      </c>
      <c r="N63" s="123">
        <f t="shared" si="23"/>
        <v>295096.46000000002</v>
      </c>
      <c r="O63" s="134"/>
      <c r="P63" s="108"/>
      <c r="Q63" s="108"/>
      <c r="R63" s="108">
        <v>265705.23</v>
      </c>
      <c r="S63" s="108">
        <f>+'Приложение №2'!E63-'Приложение №1'!P63-'Приложение №1'!Q63-'Приложение №1'!R63</f>
        <v>29391.23000000004</v>
      </c>
      <c r="T63" s="107">
        <f>+'Приложение №2'!E63-'Приложение №1'!P63-'Приложение №1'!Q63-'Приложение №1'!R63-'Приложение №1'!S63</f>
        <v>0</v>
      </c>
      <c r="U63" s="108">
        <f t="shared" si="17"/>
        <v>483.44767365661869</v>
      </c>
      <c r="V63" s="108">
        <f t="shared" si="17"/>
        <v>483.44767365661869</v>
      </c>
      <c r="W63" s="135">
        <v>2022</v>
      </c>
      <c r="X63" s="28" t="e">
        <f>+#REF!-'[1]Приложение №1'!$P624</f>
        <v>#REF!</v>
      </c>
      <c r="Z63" s="30">
        <f t="shared" si="20"/>
        <v>7665708.8647758998</v>
      </c>
      <c r="AA63" s="26">
        <v>0</v>
      </c>
      <c r="AB63" s="26">
        <v>0</v>
      </c>
      <c r="AC63" s="26">
        <v>534819.48515225993</v>
      </c>
      <c r="AD63" s="26">
        <v>0</v>
      </c>
      <c r="AE63" s="26">
        <v>0</v>
      </c>
      <c r="AF63" s="26"/>
      <c r="AG63" s="26">
        <v>0</v>
      </c>
      <c r="AH63" s="26">
        <v>0</v>
      </c>
      <c r="AI63" s="26">
        <v>0</v>
      </c>
      <c r="AJ63" s="26">
        <v>0</v>
      </c>
      <c r="AK63" s="26">
        <v>2395084.1800000006</v>
      </c>
      <c r="AL63" s="26">
        <v>3387656.69</v>
      </c>
      <c r="AM63" s="26">
        <v>1044703.834</v>
      </c>
      <c r="AN63" s="31">
        <v>104470.38340000001</v>
      </c>
      <c r="AO63" s="32">
        <v>198974.29222363996</v>
      </c>
      <c r="AP63" s="77">
        <f>+N63-'Приложение №2'!E63</f>
        <v>0</v>
      </c>
      <c r="AQ63" s="1">
        <v>203638.23</v>
      </c>
      <c r="AR63" s="1">
        <f t="shared" si="21"/>
        <v>62260.799999999996</v>
      </c>
      <c r="AS63" s="1">
        <f>+(K63*10+L63*20)*12*30-656415.36</f>
        <v>1541024.6400000001</v>
      </c>
      <c r="AT63" s="28">
        <f t="shared" si="9"/>
        <v>-1511633.4100000001</v>
      </c>
    </row>
    <row r="64" spans="1:46" x14ac:dyDescent="0.25">
      <c r="A64" s="72">
        <f t="shared" si="10"/>
        <v>47</v>
      </c>
      <c r="B64" s="73">
        <f t="shared" si="11"/>
        <v>47</v>
      </c>
      <c r="C64" s="73" t="s">
        <v>51</v>
      </c>
      <c r="D64" s="120" t="s">
        <v>388</v>
      </c>
      <c r="E64" s="121">
        <v>1981</v>
      </c>
      <c r="F64" s="121">
        <v>2013</v>
      </c>
      <c r="G64" s="121" t="s">
        <v>83</v>
      </c>
      <c r="H64" s="121">
        <v>5</v>
      </c>
      <c r="I64" s="121">
        <v>4</v>
      </c>
      <c r="J64" s="107">
        <v>4685.6000000000004</v>
      </c>
      <c r="K64" s="107">
        <v>4258.2</v>
      </c>
      <c r="L64" s="107">
        <v>0</v>
      </c>
      <c r="M64" s="122">
        <v>196</v>
      </c>
      <c r="N64" s="123">
        <f t="shared" si="23"/>
        <v>20563603.904344082</v>
      </c>
      <c r="O64" s="107"/>
      <c r="P64" s="108">
        <v>5434056.3399999999</v>
      </c>
      <c r="Q64" s="108"/>
      <c r="R64" s="108">
        <f>+AQ64+AR64</f>
        <v>1556339.8599999999</v>
      </c>
      <c r="S64" s="108">
        <v>8960527.3300000001</v>
      </c>
      <c r="T64" s="107">
        <f>+'Приложение №2'!E64-'Приложение №1'!P64-'Приложение №1'!Q64-'Приложение №1'!R64-'Приложение №1'!S64</f>
        <v>4612680.3743440825</v>
      </c>
      <c r="U64" s="108">
        <f t="shared" si="17"/>
        <v>4829.1775643098217</v>
      </c>
      <c r="V64" s="108">
        <f t="shared" si="17"/>
        <v>4829.1775643098217</v>
      </c>
      <c r="W64" s="135">
        <v>2022</v>
      </c>
      <c r="X64" s="28" t="e">
        <f>+#REF!-'[1]Приложение №1'!$P1001</f>
        <v>#REF!</v>
      </c>
      <c r="Z64" s="30">
        <f t="shared" si="20"/>
        <v>53162190.114960879</v>
      </c>
      <c r="AA64" s="26">
        <v>7102961.0915554194</v>
      </c>
      <c r="AB64" s="26"/>
      <c r="AD64" s="26"/>
      <c r="AE64" s="26">
        <v>1322689.13658126</v>
      </c>
      <c r="AF64" s="26"/>
      <c r="AG64" s="26">
        <v>352944.26574120001</v>
      </c>
      <c r="AH64" s="26">
        <v>0</v>
      </c>
      <c r="AI64" s="26"/>
      <c r="AJ64" s="26">
        <v>0</v>
      </c>
      <c r="AK64" s="26">
        <v>24549081.498129718</v>
      </c>
      <c r="AL64" s="26">
        <v>9654838.8947262019</v>
      </c>
      <c r="AM64" s="26">
        <v>7930358.6941000009</v>
      </c>
      <c r="AN64" s="31">
        <v>775676.97370000009</v>
      </c>
      <c r="AO64" s="32">
        <v>1473639.5604270801</v>
      </c>
      <c r="AP64" s="77">
        <f>+N64-'Приложение №2'!E64</f>
        <v>0</v>
      </c>
      <c r="AQ64" s="1">
        <f>1979236.76-807117.21-50116.09</f>
        <v>1122003.46</v>
      </c>
      <c r="AR64" s="1">
        <f t="shared" si="21"/>
        <v>434336.39999999997</v>
      </c>
      <c r="AS64" s="1">
        <f>+(K64*10+L64*20)*12*30-6222132.17-133900.5</f>
        <v>8973487.3300000001</v>
      </c>
      <c r="AT64" s="28">
        <f t="shared" si="9"/>
        <v>-12960</v>
      </c>
    </row>
    <row r="65" spans="1:51" x14ac:dyDescent="0.25">
      <c r="A65" s="72">
        <f t="shared" si="10"/>
        <v>48</v>
      </c>
      <c r="B65" s="73">
        <f t="shared" si="11"/>
        <v>48</v>
      </c>
      <c r="C65" s="73" t="s">
        <v>51</v>
      </c>
      <c r="D65" s="120" t="s">
        <v>389</v>
      </c>
      <c r="E65" s="121">
        <v>1963</v>
      </c>
      <c r="F65" s="121">
        <v>2013</v>
      </c>
      <c r="G65" s="121" t="s">
        <v>43</v>
      </c>
      <c r="H65" s="121">
        <v>4</v>
      </c>
      <c r="I65" s="121">
        <v>4</v>
      </c>
      <c r="J65" s="107">
        <v>5268.75</v>
      </c>
      <c r="K65" s="107">
        <v>3170.15</v>
      </c>
      <c r="L65" s="107">
        <v>2098.6</v>
      </c>
      <c r="M65" s="122">
        <v>92</v>
      </c>
      <c r="N65" s="123">
        <f t="shared" si="23"/>
        <v>26746433.920307983</v>
      </c>
      <c r="O65" s="107"/>
      <c r="P65" s="108">
        <v>1562915.71</v>
      </c>
      <c r="Q65" s="108"/>
      <c r="R65" s="108">
        <f>+AQ65+AR65</f>
        <v>3803443.1100000003</v>
      </c>
      <c r="S65" s="108">
        <f>'Приложение №2'!E65-'Приложение №1'!P65-'Приложение №1'!R65-'Приложение №1'!T65</f>
        <v>12513319.670307983</v>
      </c>
      <c r="T65" s="107">
        <v>8866755.4299999997</v>
      </c>
      <c r="U65" s="108">
        <f t="shared" si="17"/>
        <v>5076.4287393229861</v>
      </c>
      <c r="V65" s="108">
        <f t="shared" si="17"/>
        <v>5076.4287393229861</v>
      </c>
      <c r="W65" s="135">
        <v>2022</v>
      </c>
      <c r="X65" s="28" t="e">
        <f>+#REF!-'[1]Приложение №1'!$P1002</f>
        <v>#REF!</v>
      </c>
      <c r="Z65" s="30">
        <f t="shared" si="20"/>
        <v>55905524.456026562</v>
      </c>
      <c r="AA65" s="26">
        <v>8910375.1309635937</v>
      </c>
      <c r="AB65" s="26">
        <v>3183729.7650160287</v>
      </c>
      <c r="AC65" s="26">
        <v>3374754.2381990571</v>
      </c>
      <c r="AD65" s="26">
        <v>2149419.7980030486</v>
      </c>
      <c r="AE65" s="26">
        <v>1581654.1276199999</v>
      </c>
      <c r="AF65" s="26"/>
      <c r="AG65" s="26">
        <v>320562.32128199999</v>
      </c>
      <c r="AH65" s="26">
        <v>0</v>
      </c>
      <c r="AI65" s="26">
        <v>16307858.936562859</v>
      </c>
      <c r="AJ65" s="26">
        <v>0</v>
      </c>
      <c r="AK65" s="26">
        <v>8424086.4921022002</v>
      </c>
      <c r="AL65" s="26">
        <v>9161049.1317717694</v>
      </c>
      <c r="AM65" s="26">
        <v>1263665.5900000001</v>
      </c>
      <c r="AN65" s="26">
        <v>60324.08</v>
      </c>
      <c r="AO65" s="32">
        <v>1168044.8445060002</v>
      </c>
      <c r="AP65" s="77">
        <f>+N65-'Приложение №2'!E65</f>
        <v>0</v>
      </c>
      <c r="AQ65" s="1">
        <v>3051973.41</v>
      </c>
      <c r="AR65" s="1">
        <f t="shared" si="21"/>
        <v>751469.7</v>
      </c>
      <c r="AS65" s="1">
        <f>+(K65*10+L65*20)*12*30</f>
        <v>26522460</v>
      </c>
      <c r="AT65" s="28">
        <f t="shared" si="9"/>
        <v>-14009140.329692017</v>
      </c>
    </row>
    <row r="66" spans="1:51" x14ac:dyDescent="0.25">
      <c r="A66" s="72">
        <f t="shared" si="10"/>
        <v>49</v>
      </c>
      <c r="B66" s="73">
        <f t="shared" si="11"/>
        <v>49</v>
      </c>
      <c r="C66" s="73" t="s">
        <v>51</v>
      </c>
      <c r="D66" s="120" t="s">
        <v>390</v>
      </c>
      <c r="E66" s="121">
        <v>1962</v>
      </c>
      <c r="F66" s="121">
        <v>2013</v>
      </c>
      <c r="G66" s="121" t="s">
        <v>43</v>
      </c>
      <c r="H66" s="121">
        <v>3</v>
      </c>
      <c r="I66" s="121">
        <v>4</v>
      </c>
      <c r="J66" s="107">
        <v>2475.3000000000002</v>
      </c>
      <c r="K66" s="107">
        <v>1760.3</v>
      </c>
      <c r="L66" s="107">
        <v>633.70000000000005</v>
      </c>
      <c r="M66" s="122">
        <v>67</v>
      </c>
      <c r="N66" s="133">
        <f t="shared" si="23"/>
        <v>701860.01140024001</v>
      </c>
      <c r="O66" s="107"/>
      <c r="P66" s="108"/>
      <c r="Q66" s="108"/>
      <c r="R66" s="108">
        <f>+'Приложение №2'!E66</f>
        <v>701860.01140024001</v>
      </c>
      <c r="S66" s="108">
        <f>+'Приложение №2'!E66-'Приложение №1'!R66</f>
        <v>0</v>
      </c>
      <c r="T66" s="108">
        <f>+'Приложение №2'!E66-'Приложение №1'!P66-'Приложение №1'!Q66-'Приложение №1'!R66-'Приложение №1'!S66</f>
        <v>0</v>
      </c>
      <c r="U66" s="107">
        <f t="shared" si="17"/>
        <v>293.1746079366082</v>
      </c>
      <c r="V66" s="107">
        <f t="shared" si="17"/>
        <v>293.1746079366082</v>
      </c>
      <c r="W66" s="135">
        <v>2022</v>
      </c>
      <c r="X66" s="28" t="e">
        <f>+#REF!-'[1]Приложение №1'!$P1603</f>
        <v>#REF!</v>
      </c>
      <c r="Z66" s="30">
        <f t="shared" si="20"/>
        <v>42587143.969999999</v>
      </c>
      <c r="AA66" s="26">
        <v>7066614.7537494609</v>
      </c>
      <c r="AB66" s="26">
        <v>4299926.4446779201</v>
      </c>
      <c r="AC66" s="26">
        <v>2026161.64019976</v>
      </c>
      <c r="AD66" s="26">
        <v>1726716.820332</v>
      </c>
      <c r="AE66" s="26">
        <v>927837.09472608019</v>
      </c>
      <c r="AF66" s="26"/>
      <c r="AG66" s="26">
        <v>721134.15164699999</v>
      </c>
      <c r="AH66" s="26">
        <v>0</v>
      </c>
      <c r="AI66" s="26">
        <v>20442556.221607797</v>
      </c>
      <c r="AJ66" s="26">
        <v>0</v>
      </c>
      <c r="AK66" s="26">
        <v>0</v>
      </c>
      <c r="AL66" s="26">
        <v>0</v>
      </c>
      <c r="AM66" s="26">
        <v>4136597.3545999997</v>
      </c>
      <c r="AN66" s="31">
        <v>425871.43969999999</v>
      </c>
      <c r="AO66" s="32">
        <v>813728.04875998001</v>
      </c>
      <c r="AP66" s="77">
        <f>+N66-'Приложение №2'!E66</f>
        <v>0</v>
      </c>
      <c r="AQ66" s="1">
        <v>1210415.78</v>
      </c>
      <c r="AR66" s="1">
        <f t="shared" si="21"/>
        <v>308825.39999999997</v>
      </c>
      <c r="AS66" s="1">
        <f>+(K66*10+L66*20)*12*30-4713256</f>
        <v>6186464</v>
      </c>
      <c r="AT66" s="28">
        <f t="shared" si="9"/>
        <v>-6186464</v>
      </c>
    </row>
    <row r="67" spans="1:51" s="34" customFormat="1" x14ac:dyDescent="0.25">
      <c r="A67" s="72">
        <f t="shared" si="10"/>
        <v>50</v>
      </c>
      <c r="B67" s="73">
        <f t="shared" si="11"/>
        <v>50</v>
      </c>
      <c r="C67" s="73" t="s">
        <v>51</v>
      </c>
      <c r="D67" s="120" t="s">
        <v>391</v>
      </c>
      <c r="E67" s="121" t="s">
        <v>93</v>
      </c>
      <c r="F67" s="121"/>
      <c r="G67" s="121" t="s">
        <v>43</v>
      </c>
      <c r="H67" s="121" t="s">
        <v>94</v>
      </c>
      <c r="I67" s="121" t="s">
        <v>95</v>
      </c>
      <c r="J67" s="107">
        <v>6441.2</v>
      </c>
      <c r="K67" s="107">
        <v>4463.1000000000004</v>
      </c>
      <c r="L67" s="107">
        <v>1969.2</v>
      </c>
      <c r="M67" s="122">
        <v>152</v>
      </c>
      <c r="N67" s="123">
        <f t="shared" si="23"/>
        <v>6059622.2357299505</v>
      </c>
      <c r="O67" s="107">
        <v>0</v>
      </c>
      <c r="P67" s="108"/>
      <c r="Q67" s="108">
        <v>0</v>
      </c>
      <c r="R67" s="108">
        <f>+AQ67+AR67</f>
        <v>5329893.6566000003</v>
      </c>
      <c r="S67" s="108">
        <f>+'Приложение №2'!E67-'Приложение №1'!R67</f>
        <v>729728.57912995014</v>
      </c>
      <c r="T67" s="107">
        <f>+'Приложение №2'!E67-'Приложение №1'!P67-'Приложение №1'!Q67-'Приложение №1'!R67-'Приложение №1'!S67</f>
        <v>0</v>
      </c>
      <c r="U67" s="108">
        <f>N67/K67</f>
        <v>1357.7159901704981</v>
      </c>
      <c r="V67" s="108">
        <v>1172.2830200640003</v>
      </c>
      <c r="W67" s="135">
        <v>2022</v>
      </c>
      <c r="X67" s="34">
        <v>3464637.96</v>
      </c>
      <c r="Y67" s="34">
        <f>+(K67*12.08+L67*20.47)*12</f>
        <v>1130685.264</v>
      </c>
      <c r="AA67" s="35">
        <f>+N67-'[5]Приложение № 2'!E64</f>
        <v>1291182.8557299506</v>
      </c>
      <c r="AD67" s="35">
        <f>+N67-'[5]Приложение № 2'!E64</f>
        <v>1291182.8557299506</v>
      </c>
      <c r="AP67" s="77">
        <f>+N67-'Приложение №2'!E67</f>
        <v>0</v>
      </c>
      <c r="AQ67" s="34">
        <v>4272551.63</v>
      </c>
      <c r="AR67" s="1">
        <f>+(K67*13.29+L67*22.52)*12*0.85</f>
        <v>1057342.0266</v>
      </c>
      <c r="AS67" s="1">
        <f>+(K67*13.29+L67*22.52)*12*30</f>
        <v>37317953.880000003</v>
      </c>
      <c r="AT67" s="28">
        <f t="shared" si="9"/>
        <v>-36588225.300870053</v>
      </c>
    </row>
    <row r="68" spans="1:51" s="34" customFormat="1" x14ac:dyDescent="0.25">
      <c r="A68" s="72">
        <f t="shared" si="10"/>
        <v>51</v>
      </c>
      <c r="B68" s="73">
        <f t="shared" si="11"/>
        <v>51</v>
      </c>
      <c r="C68" s="73" t="s">
        <v>51</v>
      </c>
      <c r="D68" s="120" t="s">
        <v>392</v>
      </c>
      <c r="E68" s="121" t="s">
        <v>93</v>
      </c>
      <c r="F68" s="121"/>
      <c r="G68" s="121" t="s">
        <v>83</v>
      </c>
      <c r="H68" s="121" t="s">
        <v>96</v>
      </c>
      <c r="I68" s="121" t="s">
        <v>95</v>
      </c>
      <c r="J68" s="107">
        <v>5186.3599999999997</v>
      </c>
      <c r="K68" s="107">
        <v>4076.7</v>
      </c>
      <c r="L68" s="107">
        <v>540.4</v>
      </c>
      <c r="M68" s="122">
        <v>130</v>
      </c>
      <c r="N68" s="123">
        <f t="shared" si="23"/>
        <v>6048926.2934416514</v>
      </c>
      <c r="O68" s="107">
        <v>0</v>
      </c>
      <c r="P68" s="108"/>
      <c r="Q68" s="108">
        <v>0</v>
      </c>
      <c r="R68" s="108">
        <f>+AQ68+AR68</f>
        <v>3933138.0602000002</v>
      </c>
      <c r="S68" s="108">
        <f>+'Приложение №2'!E68-'Приложение №1'!R68</f>
        <v>2115788.2332416512</v>
      </c>
      <c r="T68" s="107">
        <f>+'Приложение №2'!E68-'Приложение №1'!P68-'Приложение №1'!Q68-'Приложение №1'!R68-'Приложение №1'!S68</f>
        <v>0</v>
      </c>
      <c r="U68" s="108">
        <f>N68/K68</f>
        <v>1483.7800901321293</v>
      </c>
      <c r="V68" s="108">
        <v>1172.2830200640003</v>
      </c>
      <c r="W68" s="135">
        <v>2022</v>
      </c>
      <c r="X68" s="34">
        <v>2572778.1</v>
      </c>
      <c r="Y68" s="34">
        <f>+(K68*12.08+L68*20.47)*12</f>
        <v>723702.28799999994</v>
      </c>
      <c r="AA68" s="35">
        <f>+N68-'[5]Приложение № 2'!E65</f>
        <v>1592281.5734416516</v>
      </c>
      <c r="AD68" s="35">
        <f>+N68-'[5]Приложение № 2'!E65</f>
        <v>1592281.5734416516</v>
      </c>
      <c r="AP68" s="77">
        <f>+N68-'Приложение №2'!E68</f>
        <v>0</v>
      </c>
      <c r="AQ68" s="34">
        <v>3256376.72</v>
      </c>
      <c r="AR68" s="1">
        <f>+(K68*13.29+L68*22.52)*12*0.85</f>
        <v>676761.34019999986</v>
      </c>
      <c r="AS68" s="1">
        <f>+(K68*13.29+L68*22.52)*12*30</f>
        <v>23885694.359999999</v>
      </c>
      <c r="AT68" s="28">
        <f t="shared" si="9"/>
        <v>-21769906.126758348</v>
      </c>
    </row>
    <row r="69" spans="1:51" x14ac:dyDescent="0.25">
      <c r="A69" s="72">
        <f t="shared" si="10"/>
        <v>52</v>
      </c>
      <c r="B69" s="73">
        <f t="shared" si="11"/>
        <v>52</v>
      </c>
      <c r="C69" s="73" t="s">
        <v>51</v>
      </c>
      <c r="D69" s="120" t="s">
        <v>393</v>
      </c>
      <c r="E69" s="121">
        <v>1968</v>
      </c>
      <c r="F69" s="121">
        <v>2013</v>
      </c>
      <c r="G69" s="121" t="s">
        <v>43</v>
      </c>
      <c r="H69" s="121">
        <v>5</v>
      </c>
      <c r="I69" s="121">
        <v>4</v>
      </c>
      <c r="J69" s="107">
        <v>3228.9</v>
      </c>
      <c r="K69" s="107">
        <v>2518.9</v>
      </c>
      <c r="L69" s="107">
        <v>710</v>
      </c>
      <c r="M69" s="122">
        <v>136</v>
      </c>
      <c r="N69" s="133">
        <f>+P69+Q69+R69+S69+T69</f>
        <v>1143075.80756688</v>
      </c>
      <c r="O69" s="107"/>
      <c r="P69" s="108"/>
      <c r="Q69" s="108"/>
      <c r="R69" s="108">
        <f>+'Приложение №2'!E69</f>
        <v>1143075.80756688</v>
      </c>
      <c r="S69" s="108">
        <f>+'Приложение №2'!E69-'Приложение №1'!R69</f>
        <v>0</v>
      </c>
      <c r="T69" s="108">
        <v>0</v>
      </c>
      <c r="U69" s="107">
        <f>$N69/($K69+$L69)</f>
        <v>354.01400091885159</v>
      </c>
      <c r="V69" s="107">
        <f>$N69/($K69+$L69)</f>
        <v>354.01400091885159</v>
      </c>
      <c r="W69" s="135">
        <v>2022</v>
      </c>
      <c r="X69" s="28" t="e">
        <f>+#REF!-'[1]Приложение №1'!$P1407</f>
        <v>#REF!</v>
      </c>
      <c r="Z69" s="30">
        <f>SUM(AA69:AO69)</f>
        <v>27107198.400000002</v>
      </c>
      <c r="AA69" s="26">
        <v>5940143.1063865805</v>
      </c>
      <c r="AB69" s="26">
        <v>2116717.1923795803</v>
      </c>
      <c r="AC69" s="26">
        <v>2211498.4827243001</v>
      </c>
      <c r="AD69" s="26">
        <v>1384537.88247348</v>
      </c>
      <c r="AE69" s="26">
        <v>847110.81731472013</v>
      </c>
      <c r="AF69" s="26"/>
      <c r="AG69" s="26">
        <v>227939.55009504</v>
      </c>
      <c r="AH69" s="26">
        <v>0</v>
      </c>
      <c r="AI69" s="26">
        <v>10859485.412210401</v>
      </c>
      <c r="AJ69" s="26">
        <v>0</v>
      </c>
      <c r="AK69" s="26">
        <v>0</v>
      </c>
      <c r="AL69" s="26">
        <v>0</v>
      </c>
      <c r="AM69" s="26">
        <v>2732884.5975000001</v>
      </c>
      <c r="AN69" s="31">
        <v>271071.984</v>
      </c>
      <c r="AO69" s="32">
        <v>515809.3749159</v>
      </c>
      <c r="AP69" s="77">
        <f>+N69-'Приложение №2'!E69</f>
        <v>0</v>
      </c>
      <c r="AQ69" s="1">
        <v>1993779.07</v>
      </c>
      <c r="AR69" s="1">
        <f>+(K69*10+L69*20)*12*0.85</f>
        <v>401767.8</v>
      </c>
      <c r="AS69" s="1">
        <f>+(K69*10+L69*20)*12*30</f>
        <v>14180040</v>
      </c>
      <c r="AT69" s="28">
        <f>+S69-AS69</f>
        <v>-14180040</v>
      </c>
      <c r="AU69" s="28">
        <f>+P69-'[6]Приложение №1'!$P264</f>
        <v>0</v>
      </c>
      <c r="AV69" s="28">
        <f>+Q69-'[6]Приложение №1'!$Q264</f>
        <v>0</v>
      </c>
      <c r="AW69" s="28">
        <f>+R69-'[6]Приложение №1'!$R264</f>
        <v>1399.0099999997765</v>
      </c>
      <c r="AX69" s="28">
        <f>+S69-'[6]Приложение №1'!$S264</f>
        <v>0</v>
      </c>
      <c r="AY69" s="28">
        <f>+T69-'[6]Приложение №1'!$T264</f>
        <v>0</v>
      </c>
    </row>
    <row r="70" spans="1:51" x14ac:dyDescent="0.25">
      <c r="A70" s="72">
        <f t="shared" si="10"/>
        <v>53</v>
      </c>
      <c r="B70" s="73">
        <f t="shared" si="11"/>
        <v>53</v>
      </c>
      <c r="C70" s="73" t="s">
        <v>51</v>
      </c>
      <c r="D70" s="120" t="s">
        <v>394</v>
      </c>
      <c r="E70" s="121">
        <v>1965</v>
      </c>
      <c r="F70" s="121">
        <v>2005</v>
      </c>
      <c r="G70" s="121" t="s">
        <v>43</v>
      </c>
      <c r="H70" s="121">
        <v>4</v>
      </c>
      <c r="I70" s="121">
        <v>2</v>
      </c>
      <c r="J70" s="107">
        <v>1948.5</v>
      </c>
      <c r="K70" s="107">
        <v>1410</v>
      </c>
      <c r="L70" s="107">
        <v>537.70000000000005</v>
      </c>
      <c r="M70" s="122">
        <v>38</v>
      </c>
      <c r="N70" s="123">
        <f t="shared" si="23"/>
        <v>784502.32414875994</v>
      </c>
      <c r="O70" s="107"/>
      <c r="P70" s="108"/>
      <c r="Q70" s="108"/>
      <c r="R70" s="108">
        <f>+'Приложение №2'!E70</f>
        <v>784502.32414875994</v>
      </c>
      <c r="S70" s="108">
        <f>+'Приложение №2'!E70-'Приложение №1'!R70</f>
        <v>0</v>
      </c>
      <c r="T70" s="107"/>
      <c r="U70" s="108">
        <f t="shared" ref="U70:V86" si="24">$N70/($K70+$L70)</f>
        <v>402.78396269895768</v>
      </c>
      <c r="V70" s="108">
        <f t="shared" si="24"/>
        <v>402.78396269895768</v>
      </c>
      <c r="W70" s="135">
        <v>2022</v>
      </c>
      <c r="X70" s="28" t="e">
        <f>+#REF!-'[1]Приложение №1'!$P1408</f>
        <v>#REF!</v>
      </c>
      <c r="Z70" s="30">
        <f t="shared" ref="Z70:Z86" si="25">SUM(AA70:AO70)</f>
        <v>10380935.740000002</v>
      </c>
      <c r="AA70" s="26">
        <v>4172919.5503249806</v>
      </c>
      <c r="AB70" s="26">
        <v>1486982.7864103799</v>
      </c>
      <c r="AC70" s="26">
        <v>1553566.1571465</v>
      </c>
      <c r="AD70" s="26">
        <v>972630.6372728399</v>
      </c>
      <c r="AE70" s="26">
        <v>595090.92894678004</v>
      </c>
      <c r="AF70" s="26"/>
      <c r="AG70" s="26">
        <v>160126.34455524001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1140281.4974</v>
      </c>
      <c r="AN70" s="31">
        <v>103809.35740000001</v>
      </c>
      <c r="AO70" s="32">
        <v>195528.48054327999</v>
      </c>
      <c r="AP70" s="77">
        <f>+N70-'Приложение №2'!E70</f>
        <v>0</v>
      </c>
      <c r="AQ70" s="1">
        <v>945052.78</v>
      </c>
      <c r="AR70" s="1">
        <f>+(K70*10+L70*20)*12*0.85</f>
        <v>253510.8</v>
      </c>
      <c r="AS70" s="1">
        <f>+(K70*10+L70*20)*12*30</f>
        <v>8947440</v>
      </c>
      <c r="AT70" s="28">
        <f t="shared" si="9"/>
        <v>-8947440</v>
      </c>
    </row>
    <row r="71" spans="1:51" x14ac:dyDescent="0.25">
      <c r="A71" s="72">
        <f t="shared" si="10"/>
        <v>54</v>
      </c>
      <c r="B71" s="73">
        <f t="shared" si="11"/>
        <v>54</v>
      </c>
      <c r="C71" s="73" t="s">
        <v>51</v>
      </c>
      <c r="D71" s="120" t="s">
        <v>395</v>
      </c>
      <c r="E71" s="121">
        <v>1963</v>
      </c>
      <c r="F71" s="121">
        <v>2013</v>
      </c>
      <c r="G71" s="121" t="s">
        <v>43</v>
      </c>
      <c r="H71" s="121">
        <v>4</v>
      </c>
      <c r="I71" s="121">
        <v>3</v>
      </c>
      <c r="J71" s="107">
        <v>2328.4</v>
      </c>
      <c r="K71" s="107">
        <v>1950.9</v>
      </c>
      <c r="L71" s="107">
        <v>377.5</v>
      </c>
      <c r="M71" s="122">
        <v>49</v>
      </c>
      <c r="N71" s="123">
        <f t="shared" si="23"/>
        <v>4592465.8816174399</v>
      </c>
      <c r="O71" s="107"/>
      <c r="P71" s="108"/>
      <c r="Q71" s="108"/>
      <c r="R71" s="108">
        <f>+'Приложение №2'!E71-'Приложение №1'!P71-'Приложение №1'!S71</f>
        <v>761274.89161743969</v>
      </c>
      <c r="S71" s="108">
        <v>3831190.99</v>
      </c>
      <c r="T71" s="107">
        <f>+'Приложение №2'!E71-'Приложение №1'!P71-'Приложение №1'!Q71-'Приложение №1'!R71-'Приложение №1'!S71</f>
        <v>0</v>
      </c>
      <c r="U71" s="108">
        <f t="shared" si="24"/>
        <v>1972.3698168774436</v>
      </c>
      <c r="V71" s="108">
        <f t="shared" si="24"/>
        <v>1972.3698168774436</v>
      </c>
      <c r="W71" s="135">
        <v>2022</v>
      </c>
      <c r="X71" s="28" t="e">
        <f>+#REF!-'[1]Приложение №1'!$P1409</f>
        <v>#REF!</v>
      </c>
      <c r="Z71" s="30">
        <f t="shared" si="25"/>
        <v>11906775.319999998</v>
      </c>
      <c r="AA71" s="26">
        <v>4786275.2192018395</v>
      </c>
      <c r="AB71" s="26">
        <v>1705546.6285494</v>
      </c>
      <c r="AC71" s="26">
        <v>1781916.7351927198</v>
      </c>
      <c r="AD71" s="26">
        <v>1115592.5413768801</v>
      </c>
      <c r="AE71" s="26">
        <v>682560.24163362011</v>
      </c>
      <c r="AF71" s="26"/>
      <c r="AG71" s="26">
        <v>183662.48366172001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1307885.5255</v>
      </c>
      <c r="AN71" s="31">
        <v>119067.75319999999</v>
      </c>
      <c r="AO71" s="32">
        <v>224268.19168382001</v>
      </c>
      <c r="AP71" s="77">
        <f>+N71-'Приложение №2'!E71</f>
        <v>0</v>
      </c>
      <c r="AQ71" s="1">
        <v>1234380.76</v>
      </c>
      <c r="AR71" s="1">
        <f>+(K71*10+L71*20)*12*0.85</f>
        <v>276001.8</v>
      </c>
      <c r="AS71" s="1">
        <f>+(K71*10+L71*20)*12*30</f>
        <v>9741240</v>
      </c>
      <c r="AT71" s="28">
        <f t="shared" si="9"/>
        <v>-5910049.0099999998</v>
      </c>
    </row>
    <row r="72" spans="1:51" x14ac:dyDescent="0.25">
      <c r="A72" s="72">
        <f t="shared" si="10"/>
        <v>55</v>
      </c>
      <c r="B72" s="73">
        <f t="shared" si="11"/>
        <v>55</v>
      </c>
      <c r="C72" s="73" t="s">
        <v>51</v>
      </c>
      <c r="D72" s="120" t="s">
        <v>396</v>
      </c>
      <c r="E72" s="121">
        <v>1989</v>
      </c>
      <c r="F72" s="121">
        <v>2017</v>
      </c>
      <c r="G72" s="121" t="s">
        <v>83</v>
      </c>
      <c r="H72" s="121">
        <v>9</v>
      </c>
      <c r="I72" s="121">
        <v>3</v>
      </c>
      <c r="J72" s="107">
        <v>7106.9</v>
      </c>
      <c r="K72" s="107">
        <v>6247.4</v>
      </c>
      <c r="L72" s="107">
        <v>0</v>
      </c>
      <c r="M72" s="122">
        <v>249</v>
      </c>
      <c r="N72" s="123">
        <f t="shared" si="23"/>
        <v>3114149.7142166197</v>
      </c>
      <c r="O72" s="107"/>
      <c r="P72" s="108"/>
      <c r="Q72" s="108"/>
      <c r="R72" s="108">
        <v>1911934.4542166202</v>
      </c>
      <c r="S72" s="108">
        <v>1008444.16</v>
      </c>
      <c r="T72" s="107">
        <f>+'Приложение №2'!E72-'Приложение №1'!P72-'Приложение №1'!Q72-'Приложение №1'!R72-'Приложение №1'!S72</f>
        <v>193771.09999999951</v>
      </c>
      <c r="U72" s="108">
        <f t="shared" si="24"/>
        <v>498.47131834308993</v>
      </c>
      <c r="V72" s="108">
        <f t="shared" si="24"/>
        <v>498.47131834308993</v>
      </c>
      <c r="W72" s="135">
        <v>2022</v>
      </c>
      <c r="X72" s="28" t="e">
        <f>+#REF!-'[1]Приложение №1'!$P366</f>
        <v>#REF!</v>
      </c>
      <c r="Z72" s="30">
        <f t="shared" si="25"/>
        <v>25881031.239999995</v>
      </c>
      <c r="AA72" s="26"/>
      <c r="AB72" s="26"/>
      <c r="AC72" s="26"/>
      <c r="AD72" s="26"/>
      <c r="AE72" s="26">
        <v>0</v>
      </c>
      <c r="AF72" s="26"/>
      <c r="AG72" s="26"/>
      <c r="AH72" s="26">
        <v>0</v>
      </c>
      <c r="AI72" s="26"/>
      <c r="AJ72" s="26">
        <v>0</v>
      </c>
      <c r="AK72" s="26">
        <v>25881031.239999995</v>
      </c>
      <c r="AL72" s="26">
        <v>0</v>
      </c>
      <c r="AM72" s="26"/>
      <c r="AN72" s="31"/>
      <c r="AO72" s="32"/>
      <c r="AP72" s="77">
        <f>+N72-'Приложение №2'!E72</f>
        <v>0</v>
      </c>
      <c r="AQ72" s="1">
        <v>2787898.61</v>
      </c>
      <c r="AR72" s="1">
        <f>+(K72*13.29+L72*22.52)*12*0.85</f>
        <v>846885.04919999989</v>
      </c>
      <c r="AS72" s="1">
        <f>+(K72*13.29+L72*22.52)*12*30-131853.4</f>
        <v>29758207.16</v>
      </c>
      <c r="AT72" s="28">
        <f t="shared" si="9"/>
        <v>-28749763</v>
      </c>
    </row>
    <row r="73" spans="1:51" x14ac:dyDescent="0.25">
      <c r="A73" s="72">
        <f t="shared" si="10"/>
        <v>56</v>
      </c>
      <c r="B73" s="73">
        <f t="shared" si="11"/>
        <v>56</v>
      </c>
      <c r="C73" s="73" t="s">
        <v>51</v>
      </c>
      <c r="D73" s="120" t="s">
        <v>397</v>
      </c>
      <c r="E73" s="121">
        <v>1989</v>
      </c>
      <c r="F73" s="121">
        <v>2017</v>
      </c>
      <c r="G73" s="121" t="s">
        <v>83</v>
      </c>
      <c r="H73" s="121">
        <v>9</v>
      </c>
      <c r="I73" s="121">
        <v>3</v>
      </c>
      <c r="J73" s="107">
        <v>8049.4</v>
      </c>
      <c r="K73" s="107">
        <v>6639.6</v>
      </c>
      <c r="L73" s="107">
        <v>0</v>
      </c>
      <c r="M73" s="122">
        <v>258</v>
      </c>
      <c r="N73" s="123">
        <f t="shared" si="23"/>
        <v>3385337.9774930598</v>
      </c>
      <c r="O73" s="107"/>
      <c r="P73" s="108"/>
      <c r="Q73" s="108"/>
      <c r="R73" s="108"/>
      <c r="S73" s="108">
        <f>+'Приложение №2'!E73-'Приложение №1'!P73-'Приложение №1'!Q73-'Приложение №1'!R73</f>
        <v>3385337.9774930598</v>
      </c>
      <c r="T73" s="107">
        <f>+'Приложение №2'!E73-'Приложение №1'!P73-'Приложение №1'!Q73-'Приложение №1'!R73-'Приложение №1'!S73</f>
        <v>0</v>
      </c>
      <c r="U73" s="108">
        <f t="shared" si="24"/>
        <v>509.87077195810889</v>
      </c>
      <c r="V73" s="108">
        <f t="shared" si="24"/>
        <v>509.87077195810889</v>
      </c>
      <c r="W73" s="135">
        <v>2022</v>
      </c>
      <c r="X73" s="28" t="e">
        <f>+#REF!-'[1]Приложение №1'!$P1010</f>
        <v>#REF!</v>
      </c>
      <c r="Z73" s="30">
        <f t="shared" si="25"/>
        <v>34535107.586130939</v>
      </c>
      <c r="AA73" s="26">
        <v>9503098.7698319387</v>
      </c>
      <c r="AB73" s="26">
        <v>0</v>
      </c>
      <c r="AC73" s="26">
        <v>6138860.8976629199</v>
      </c>
      <c r="AD73" s="26">
        <v>2958309.3156556799</v>
      </c>
      <c r="AE73" s="26">
        <v>0</v>
      </c>
      <c r="AF73" s="26"/>
      <c r="AG73" s="26">
        <v>715245.76767839992</v>
      </c>
      <c r="AH73" s="26">
        <v>0</v>
      </c>
      <c r="AI73" s="26">
        <v>5352142.2195780007</v>
      </c>
      <c r="AJ73" s="26">
        <v>0</v>
      </c>
      <c r="AK73" s="26"/>
      <c r="AL73" s="26">
        <v>0</v>
      </c>
      <c r="AM73" s="26">
        <v>7589459.6136000007</v>
      </c>
      <c r="AN73" s="31">
        <v>782532.36640000006</v>
      </c>
      <c r="AO73" s="32">
        <v>1495458.6357239999</v>
      </c>
      <c r="AP73" s="77">
        <f>+N73-'Приложение №2'!E73</f>
        <v>0</v>
      </c>
      <c r="AQ73" s="1">
        <v>4261157.78</v>
      </c>
      <c r="AR73" s="1">
        <f>+(K73*13.29+L73*22.52)*12*0.85</f>
        <v>900050.89679999999</v>
      </c>
      <c r="AS73" s="1">
        <f>+(K73*13.29+L73*22.52)*12*30-14694406.85</f>
        <v>17072095.390000001</v>
      </c>
      <c r="AT73" s="28">
        <f t="shared" si="9"/>
        <v>-13686757.412506942</v>
      </c>
    </row>
    <row r="74" spans="1:51" x14ac:dyDescent="0.25">
      <c r="A74" s="72">
        <f t="shared" si="10"/>
        <v>57</v>
      </c>
      <c r="B74" s="73">
        <f t="shared" si="11"/>
        <v>57</v>
      </c>
      <c r="C74" s="73" t="s">
        <v>51</v>
      </c>
      <c r="D74" s="120" t="s">
        <v>398</v>
      </c>
      <c r="E74" s="121">
        <v>1994</v>
      </c>
      <c r="F74" s="121">
        <v>2013</v>
      </c>
      <c r="G74" s="121" t="s">
        <v>83</v>
      </c>
      <c r="H74" s="121">
        <v>9</v>
      </c>
      <c r="I74" s="121">
        <v>3</v>
      </c>
      <c r="J74" s="107">
        <v>7891.7</v>
      </c>
      <c r="K74" s="107">
        <v>6600.8</v>
      </c>
      <c r="L74" s="107">
        <v>0</v>
      </c>
      <c r="M74" s="122">
        <v>291</v>
      </c>
      <c r="N74" s="123">
        <f t="shared" si="23"/>
        <v>6382437.5058791805</v>
      </c>
      <c r="O74" s="107"/>
      <c r="P74" s="108"/>
      <c r="Q74" s="108"/>
      <c r="R74" s="108">
        <f>+AQ74+AR74</f>
        <v>1668103.1164000002</v>
      </c>
      <c r="S74" s="108">
        <f>+'Приложение №2'!E74-'Приложение №1'!R74-P74</f>
        <v>4714334.3894791808</v>
      </c>
      <c r="T74" s="107">
        <f>+'Приложение №2'!E74-'Приложение №1'!P74-'Приложение №1'!Q74-'Приложение №1'!R74-'Приложение №1'!S74</f>
        <v>0</v>
      </c>
      <c r="U74" s="108">
        <f t="shared" si="24"/>
        <v>966.91878346248643</v>
      </c>
      <c r="V74" s="108">
        <f t="shared" si="24"/>
        <v>966.91878346248643</v>
      </c>
      <c r="W74" s="135">
        <v>2022</v>
      </c>
      <c r="Z74" s="30">
        <f t="shared" si="25"/>
        <v>8703397.3200000003</v>
      </c>
      <c r="AA74" s="26"/>
      <c r="AB74" s="31"/>
      <c r="AC74" s="26"/>
      <c r="AD74" s="26"/>
      <c r="AE74" s="31">
        <v>0</v>
      </c>
      <c r="AF74" s="31">
        <v>0</v>
      </c>
      <c r="AG74" s="31"/>
      <c r="AH74" s="31">
        <v>8628684.8600000013</v>
      </c>
      <c r="AI74" s="26"/>
      <c r="AJ74" s="31">
        <v>0</v>
      </c>
      <c r="AK74" s="26"/>
      <c r="AL74" s="31">
        <v>0</v>
      </c>
      <c r="AM74" s="26">
        <v>55020.369999999995</v>
      </c>
      <c r="AN74" s="26">
        <v>19692.09</v>
      </c>
      <c r="AO74" s="29"/>
      <c r="AP74" s="77">
        <f>+N74-'Приложение №2'!E74</f>
        <v>0</v>
      </c>
      <c r="AQ74" s="1">
        <f>4161512.94-301266.52-3086934.55</f>
        <v>773311.87000000011</v>
      </c>
      <c r="AR74" s="1">
        <f>+(K74*13.29+L74*22.52)*12*0.85</f>
        <v>894791.24639999995</v>
      </c>
      <c r="AS74" s="1">
        <f>+(K74*13.29+L74*22.52)*12*30-1198680.53-8354818.57</f>
        <v>22027368.419999998</v>
      </c>
      <c r="AT74" s="28">
        <f t="shared" si="9"/>
        <v>-17313034.030520819</v>
      </c>
    </row>
    <row r="75" spans="1:51" x14ac:dyDescent="0.25">
      <c r="A75" s="72">
        <f t="shared" si="10"/>
        <v>58</v>
      </c>
      <c r="B75" s="73">
        <f t="shared" si="11"/>
        <v>58</v>
      </c>
      <c r="C75" s="73" t="s">
        <v>51</v>
      </c>
      <c r="D75" s="120" t="s">
        <v>399</v>
      </c>
      <c r="E75" s="121">
        <v>1987</v>
      </c>
      <c r="F75" s="121">
        <v>2013</v>
      </c>
      <c r="G75" s="121" t="s">
        <v>43</v>
      </c>
      <c r="H75" s="121">
        <v>3</v>
      </c>
      <c r="I75" s="121">
        <v>3</v>
      </c>
      <c r="J75" s="107">
        <v>1395.8</v>
      </c>
      <c r="K75" s="107">
        <v>1268</v>
      </c>
      <c r="L75" s="107">
        <v>0</v>
      </c>
      <c r="M75" s="122">
        <v>63</v>
      </c>
      <c r="N75" s="133">
        <f t="shared" si="23"/>
        <v>9734596.8718827199</v>
      </c>
      <c r="O75" s="107"/>
      <c r="P75" s="109"/>
      <c r="Q75" s="108"/>
      <c r="R75" s="108">
        <v>412386.65</v>
      </c>
      <c r="S75" s="108">
        <f>+'Приложение №2'!E75-'Приложение №1'!P75-'Приложение №1'!T75-'Приложение №1'!R75</f>
        <v>5662093.7818827191</v>
      </c>
      <c r="T75" s="107">
        <v>3660116.4400000004</v>
      </c>
      <c r="U75" s="107">
        <f t="shared" si="24"/>
        <v>7677.1268705699686</v>
      </c>
      <c r="V75" s="107">
        <f t="shared" si="24"/>
        <v>7677.1268705699686</v>
      </c>
      <c r="W75" s="135">
        <v>2022</v>
      </c>
      <c r="X75" s="28" t="e">
        <f>+#REF!-'[1]Приложение №1'!$P449</f>
        <v>#REF!</v>
      </c>
      <c r="Z75" s="30">
        <f t="shared" si="25"/>
        <v>20424271.119999997</v>
      </c>
      <c r="AA75" s="26">
        <v>3880461.3812546395</v>
      </c>
      <c r="AB75" s="26">
        <v>2361201.0958737601</v>
      </c>
      <c r="AC75" s="26">
        <v>1112617.8937948202</v>
      </c>
      <c r="AD75" s="26">
        <v>948184.97499599995</v>
      </c>
      <c r="AE75" s="26">
        <v>0</v>
      </c>
      <c r="AF75" s="26"/>
      <c r="AG75" s="26">
        <v>395993.45985528</v>
      </c>
      <c r="AH75" s="26">
        <v>0</v>
      </c>
      <c r="AI75" s="26">
        <v>0</v>
      </c>
      <c r="AJ75" s="26">
        <v>0</v>
      </c>
      <c r="AK75" s="26">
        <v>9178717.215051299</v>
      </c>
      <c r="AL75" s="26">
        <v>0</v>
      </c>
      <c r="AM75" s="26">
        <v>1951914.7557999999</v>
      </c>
      <c r="AN75" s="31">
        <v>204242.71119999999</v>
      </c>
      <c r="AO75" s="32">
        <v>390937.63217419997</v>
      </c>
      <c r="AP75" s="77">
        <f>+N75-'Приложение №2'!E75</f>
        <v>0</v>
      </c>
      <c r="AQ75" s="1">
        <v>502354.09</v>
      </c>
      <c r="AR75" s="1">
        <f t="shared" ref="AR75:AR86" si="26">+(K75*10+L75*20)*12*0.85</f>
        <v>129336</v>
      </c>
      <c r="AS75" s="1">
        <f>+(K75*10+L75*20)*12*30</f>
        <v>4564800</v>
      </c>
      <c r="AT75" s="28">
        <f t="shared" si="9"/>
        <v>1097293.7818827191</v>
      </c>
    </row>
    <row r="76" spans="1:51" x14ac:dyDescent="0.25">
      <c r="A76" s="72">
        <f t="shared" si="10"/>
        <v>59</v>
      </c>
      <c r="B76" s="73">
        <f t="shared" si="11"/>
        <v>59</v>
      </c>
      <c r="C76" s="73" t="s">
        <v>51</v>
      </c>
      <c r="D76" s="120" t="s">
        <v>400</v>
      </c>
      <c r="E76" s="121">
        <v>1982</v>
      </c>
      <c r="F76" s="121">
        <v>2005</v>
      </c>
      <c r="G76" s="121" t="s">
        <v>43</v>
      </c>
      <c r="H76" s="121">
        <v>4</v>
      </c>
      <c r="I76" s="121">
        <v>3</v>
      </c>
      <c r="J76" s="107">
        <v>4260.17</v>
      </c>
      <c r="K76" s="107">
        <v>3632.44</v>
      </c>
      <c r="L76" s="107">
        <v>448.5</v>
      </c>
      <c r="M76" s="122">
        <v>282</v>
      </c>
      <c r="N76" s="133">
        <f t="shared" si="23"/>
        <v>34443200.645936362</v>
      </c>
      <c r="O76" s="107"/>
      <c r="P76" s="108">
        <v>9795460.2799999993</v>
      </c>
      <c r="Q76" s="108"/>
      <c r="R76" s="108">
        <f>+AQ76+AR76</f>
        <v>2404077.6800000002</v>
      </c>
      <c r="S76" s="108">
        <f>+'Приложение №2'!E76-'Приложение №1'!P76-'Приложение №1'!Q76-'Приложение №1'!R76</f>
        <v>22243662.685936362</v>
      </c>
      <c r="T76" s="107">
        <f>+'Приложение №2'!E76-'Приложение №1'!P76-'Приложение №1'!Q76-'Приложение №1'!R76-'Приложение №1'!S76</f>
        <v>0</v>
      </c>
      <c r="U76" s="108">
        <f t="shared" si="24"/>
        <v>8440.0164290424163</v>
      </c>
      <c r="V76" s="108">
        <f t="shared" si="24"/>
        <v>8440.0164290424163</v>
      </c>
      <c r="W76" s="135">
        <v>2022</v>
      </c>
      <c r="X76" s="28" t="e">
        <f>+#REF!-'[1]Приложение №1'!$P844</f>
        <v>#REF!</v>
      </c>
      <c r="Z76" s="30">
        <f t="shared" si="25"/>
        <v>64128906.539999999</v>
      </c>
      <c r="AA76" s="26">
        <v>9690780.7754885387</v>
      </c>
      <c r="AB76" s="26">
        <v>3453223.58397828</v>
      </c>
      <c r="AC76" s="26">
        <v>3607850.2836289201</v>
      </c>
      <c r="AD76" s="26">
        <v>2258742.3947533201</v>
      </c>
      <c r="AE76" s="26">
        <v>0</v>
      </c>
      <c r="AF76" s="26"/>
      <c r="AG76" s="26">
        <v>371861.79313164001</v>
      </c>
      <c r="AH76" s="26">
        <v>0</v>
      </c>
      <c r="AI76" s="26">
        <v>17716221.746810999</v>
      </c>
      <c r="AJ76" s="26">
        <v>0</v>
      </c>
      <c r="AK76" s="26">
        <v>9198344.3463416398</v>
      </c>
      <c r="AL76" s="26">
        <v>9921491.0771583598</v>
      </c>
      <c r="AM76" s="26">
        <v>6039716.3901000004</v>
      </c>
      <c r="AN76" s="31">
        <v>641289.06539999996</v>
      </c>
      <c r="AO76" s="32">
        <v>1229385.0832082999</v>
      </c>
      <c r="AP76" s="77">
        <f>+N76-'Приложение №2'!E76</f>
        <v>0</v>
      </c>
      <c r="AQ76" s="1">
        <v>1942074.8</v>
      </c>
      <c r="AR76" s="1">
        <f t="shared" si="26"/>
        <v>462002.88</v>
      </c>
      <c r="AS76" s="1">
        <f>+(K76*10+L76*20)*12*30</f>
        <v>16305984.000000002</v>
      </c>
      <c r="AT76" s="28">
        <f t="shared" si="9"/>
        <v>5937678.6859363597</v>
      </c>
    </row>
    <row r="77" spans="1:51" x14ac:dyDescent="0.25">
      <c r="A77" s="72">
        <f t="shared" si="10"/>
        <v>60</v>
      </c>
      <c r="B77" s="73">
        <f t="shared" si="11"/>
        <v>60</v>
      </c>
      <c r="C77" s="73" t="s">
        <v>51</v>
      </c>
      <c r="D77" s="120" t="s">
        <v>401</v>
      </c>
      <c r="E77" s="121">
        <v>1976</v>
      </c>
      <c r="F77" s="121">
        <v>2013</v>
      </c>
      <c r="G77" s="121" t="s">
        <v>43</v>
      </c>
      <c r="H77" s="121">
        <v>4</v>
      </c>
      <c r="I77" s="121">
        <v>4</v>
      </c>
      <c r="J77" s="107">
        <v>2991.3</v>
      </c>
      <c r="K77" s="107">
        <v>2484.4</v>
      </c>
      <c r="L77" s="107">
        <v>250.6</v>
      </c>
      <c r="M77" s="122">
        <v>122</v>
      </c>
      <c r="N77" s="133">
        <f t="shared" si="23"/>
        <v>1171020.99</v>
      </c>
      <c r="O77" s="107"/>
      <c r="P77" s="108"/>
      <c r="Q77" s="108"/>
      <c r="R77" s="108">
        <v>230063.63</v>
      </c>
      <c r="S77" s="108">
        <f>701319.39+239637.97</f>
        <v>940957.36</v>
      </c>
      <c r="T77" s="107">
        <f>+'Приложение №2'!E77-'Приложение №1'!P77-'Приложение №1'!Q77-'Приложение №1'!R77-'Приложение №1'!S77</f>
        <v>0</v>
      </c>
      <c r="U77" s="108">
        <f t="shared" si="24"/>
        <v>428.16123948811702</v>
      </c>
      <c r="V77" s="108">
        <f t="shared" si="24"/>
        <v>428.16123948811702</v>
      </c>
      <c r="W77" s="135">
        <v>2022</v>
      </c>
      <c r="X77" s="28" t="e">
        <f>+#REF!-'[1]Приложение №1'!$P656</f>
        <v>#REF!</v>
      </c>
      <c r="Z77" s="30">
        <f t="shared" si="25"/>
        <v>37022548.278852001</v>
      </c>
      <c r="AA77" s="26">
        <v>6531079.8989818199</v>
      </c>
      <c r="AB77" s="26">
        <v>0</v>
      </c>
      <c r="AC77" s="26">
        <v>0</v>
      </c>
      <c r="AD77" s="26">
        <v>0</v>
      </c>
      <c r="AE77" s="26">
        <v>1171020.99</v>
      </c>
      <c r="AF77" s="26"/>
      <c r="AG77" s="26">
        <v>0</v>
      </c>
      <c r="AH77" s="26">
        <v>0</v>
      </c>
      <c r="AI77" s="26">
        <v>11939807.781027</v>
      </c>
      <c r="AJ77" s="26">
        <v>0</v>
      </c>
      <c r="AK77" s="26">
        <v>6199203.4736406608</v>
      </c>
      <c r="AL77" s="26">
        <v>6686566.5827221796</v>
      </c>
      <c r="AM77" s="26">
        <v>3445210.5711000003</v>
      </c>
      <c r="AN77" s="31">
        <v>359077.49579999998</v>
      </c>
      <c r="AO77" s="32">
        <v>690581.48558034003</v>
      </c>
      <c r="AP77" s="77">
        <f>+N77-'Приложение №2'!E77</f>
        <v>0</v>
      </c>
      <c r="AQ77" s="1">
        <v>1388531.28</v>
      </c>
      <c r="AR77" s="1">
        <f t="shared" si="26"/>
        <v>304531.20000000001</v>
      </c>
      <c r="AS77" s="1">
        <f>+(K77*10+L77*20)*12*30</f>
        <v>10748160</v>
      </c>
      <c r="AT77" s="28">
        <f t="shared" si="9"/>
        <v>-9807202.6400000006</v>
      </c>
    </row>
    <row r="78" spans="1:51" x14ac:dyDescent="0.25">
      <c r="A78" s="72">
        <f t="shared" si="10"/>
        <v>61</v>
      </c>
      <c r="B78" s="73">
        <f t="shared" si="11"/>
        <v>61</v>
      </c>
      <c r="C78" s="73" t="s">
        <v>51</v>
      </c>
      <c r="D78" s="120" t="s">
        <v>402</v>
      </c>
      <c r="E78" s="121">
        <v>1977</v>
      </c>
      <c r="F78" s="121">
        <v>1977</v>
      </c>
      <c r="G78" s="121" t="s">
        <v>83</v>
      </c>
      <c r="H78" s="121">
        <v>4</v>
      </c>
      <c r="I78" s="121">
        <v>6</v>
      </c>
      <c r="J78" s="107">
        <v>5672.9</v>
      </c>
      <c r="K78" s="107">
        <v>4964.7</v>
      </c>
      <c r="L78" s="107">
        <v>0</v>
      </c>
      <c r="M78" s="122">
        <v>207</v>
      </c>
      <c r="N78" s="123">
        <f t="shared" si="23"/>
        <v>20719813.758428805</v>
      </c>
      <c r="O78" s="107"/>
      <c r="P78" s="108">
        <v>3593219.09</v>
      </c>
      <c r="Q78" s="108"/>
      <c r="R78" s="108">
        <v>1638227</v>
      </c>
      <c r="S78" s="108">
        <f>+'Приложение №2'!E78-'Приложение №1'!P78-'Приложение №1'!R78-T78</f>
        <v>11618244.718428805</v>
      </c>
      <c r="T78" s="107">
        <v>3870122.95</v>
      </c>
      <c r="U78" s="108">
        <f t="shared" si="24"/>
        <v>4173.427147346024</v>
      </c>
      <c r="V78" s="108">
        <f t="shared" si="24"/>
        <v>4173.427147346024</v>
      </c>
      <c r="W78" s="135">
        <v>2022</v>
      </c>
      <c r="X78" s="28" t="e">
        <f>+#REF!-'[1]Приложение №1'!$P1019</f>
        <v>#REF!</v>
      </c>
      <c r="Z78" s="30">
        <f t="shared" si="25"/>
        <v>40803772.100000001</v>
      </c>
      <c r="AA78" s="26">
        <v>8274934.6457723388</v>
      </c>
      <c r="AB78" s="26">
        <v>4785620.9278290002</v>
      </c>
      <c r="AC78" s="26">
        <v>5058755.6557213198</v>
      </c>
      <c r="AD78" s="26">
        <v>3857344.1921599195</v>
      </c>
      <c r="AE78" s="26">
        <v>1540930.0457111399</v>
      </c>
      <c r="AF78" s="26"/>
      <c r="AG78" s="26">
        <v>411179.32298520009</v>
      </c>
      <c r="AH78" s="26">
        <v>0</v>
      </c>
      <c r="AI78" s="26">
        <v>0</v>
      </c>
      <c r="AJ78" s="26">
        <v>0</v>
      </c>
      <c r="AK78" s="26">
        <v>0</v>
      </c>
      <c r="AL78" s="26">
        <v>11247866.888920201</v>
      </c>
      <c r="AM78" s="26">
        <v>4449861.0098000001</v>
      </c>
      <c r="AN78" s="31">
        <v>408037.72100000002</v>
      </c>
      <c r="AO78" s="32">
        <v>769241.69010087999</v>
      </c>
      <c r="AP78" s="77">
        <f>+N78-'Приложение №2'!E78</f>
        <v>0</v>
      </c>
      <c r="AQ78" s="1">
        <f>2390424.58-114155.72</f>
        <v>2276268.86</v>
      </c>
      <c r="AR78" s="1">
        <f t="shared" si="26"/>
        <v>506399.39999999997</v>
      </c>
      <c r="AS78" s="1">
        <f>+(K78*10+L78*20)*12*30</f>
        <v>17872920</v>
      </c>
      <c r="AT78" s="28">
        <f t="shared" si="9"/>
        <v>-6254675.2815711945</v>
      </c>
    </row>
    <row r="79" spans="1:51" x14ac:dyDescent="0.25">
      <c r="A79" s="72">
        <f t="shared" si="10"/>
        <v>62</v>
      </c>
      <c r="B79" s="73">
        <f t="shared" si="11"/>
        <v>62</v>
      </c>
      <c r="C79" s="73" t="s">
        <v>51</v>
      </c>
      <c r="D79" s="120" t="s">
        <v>403</v>
      </c>
      <c r="E79" s="121">
        <v>1974</v>
      </c>
      <c r="F79" s="121">
        <v>2013</v>
      </c>
      <c r="G79" s="121" t="s">
        <v>83</v>
      </c>
      <c r="H79" s="121">
        <v>4</v>
      </c>
      <c r="I79" s="121">
        <v>4</v>
      </c>
      <c r="J79" s="107">
        <v>3890.5</v>
      </c>
      <c r="K79" s="107">
        <v>3406.6</v>
      </c>
      <c r="L79" s="107">
        <v>0</v>
      </c>
      <c r="M79" s="122">
        <v>175</v>
      </c>
      <c r="N79" s="133">
        <f t="shared" si="23"/>
        <v>15568933.82189</v>
      </c>
      <c r="O79" s="107"/>
      <c r="P79" s="108">
        <v>2144774.3499999996</v>
      </c>
      <c r="Q79" s="108"/>
      <c r="R79" s="108">
        <v>1186883.42</v>
      </c>
      <c r="S79" s="108">
        <f>+'Приложение №2'!E79-'Приложение №1'!P79-'Приложение №1'!Q79-'Приложение №1'!R79</f>
        <v>12237276.051890001</v>
      </c>
      <c r="T79" s="108">
        <f>+'Приложение №2'!E79-'Приложение №1'!P79-'Приложение №1'!R79-'Приложение №1'!S79</f>
        <v>0</v>
      </c>
      <c r="U79" s="107">
        <f t="shared" si="24"/>
        <v>4570.2265666324192</v>
      </c>
      <c r="V79" s="107">
        <f t="shared" si="24"/>
        <v>4570.2265666324192</v>
      </c>
      <c r="W79" s="135">
        <v>2022</v>
      </c>
      <c r="X79" s="28" t="e">
        <f>+#REF!-'[1]Приложение №1'!$P786</f>
        <v>#REF!</v>
      </c>
      <c r="Z79" s="30">
        <f t="shared" si="25"/>
        <v>24100395.781889997</v>
      </c>
      <c r="AA79" s="26">
        <v>0</v>
      </c>
      <c r="AB79" s="26">
        <v>0</v>
      </c>
      <c r="AC79" s="26">
        <v>0</v>
      </c>
      <c r="AD79" s="26">
        <v>0</v>
      </c>
      <c r="AE79" s="26">
        <v>1356671.24</v>
      </c>
      <c r="AF79" s="26"/>
      <c r="AG79" s="26">
        <v>0</v>
      </c>
      <c r="AH79" s="26">
        <v>0</v>
      </c>
      <c r="AI79" s="26">
        <v>0</v>
      </c>
      <c r="AJ79" s="26">
        <v>0</v>
      </c>
      <c r="AK79" s="26">
        <v>19641111.600080881</v>
      </c>
      <c r="AL79" s="26">
        <v>0</v>
      </c>
      <c r="AM79" s="26">
        <v>2439179.8219999997</v>
      </c>
      <c r="AN79" s="31">
        <v>227512.61719999998</v>
      </c>
      <c r="AO79" s="32">
        <v>435920.50260911998</v>
      </c>
      <c r="AP79" s="77">
        <f>+N79-'Приложение №2'!E79</f>
        <v>0</v>
      </c>
      <c r="AQ79" s="28">
        <f>1535272.52</f>
        <v>1535272.52</v>
      </c>
      <c r="AR79" s="1">
        <f t="shared" si="26"/>
        <v>347473.2</v>
      </c>
      <c r="AS79" s="1">
        <f>+(K79*10+L79*20)*12*30</f>
        <v>12263760</v>
      </c>
      <c r="AT79" s="28">
        <f t="shared" ref="AT79:AT143" si="27">+S79-AS79</f>
        <v>-26483.948109999299</v>
      </c>
    </row>
    <row r="80" spans="1:51" x14ac:dyDescent="0.25">
      <c r="A80" s="72">
        <f t="shared" si="10"/>
        <v>63</v>
      </c>
      <c r="B80" s="73">
        <f t="shared" si="11"/>
        <v>63</v>
      </c>
      <c r="C80" s="73" t="s">
        <v>51</v>
      </c>
      <c r="D80" s="120" t="s">
        <v>404</v>
      </c>
      <c r="E80" s="121">
        <v>1978</v>
      </c>
      <c r="F80" s="121">
        <v>2008</v>
      </c>
      <c r="G80" s="121" t="s">
        <v>83</v>
      </c>
      <c r="H80" s="121">
        <v>5</v>
      </c>
      <c r="I80" s="121">
        <v>4</v>
      </c>
      <c r="J80" s="107">
        <v>4887.2</v>
      </c>
      <c r="K80" s="107">
        <v>4152.5</v>
      </c>
      <c r="L80" s="107">
        <v>141.4</v>
      </c>
      <c r="M80" s="122">
        <v>187</v>
      </c>
      <c r="N80" s="123">
        <f t="shared" si="23"/>
        <v>14757670.589566819</v>
      </c>
      <c r="O80" s="107"/>
      <c r="P80" s="108"/>
      <c r="Q80" s="108"/>
      <c r="R80" s="108">
        <v>1507307.9899999998</v>
      </c>
      <c r="S80" s="108">
        <v>8730636.4800000004</v>
      </c>
      <c r="T80" s="107">
        <f>+'Приложение №2'!E80-'Приложение №1'!P80-'Приложение №1'!Q80-'Приложение №1'!R80-'Приложение №1'!S80</f>
        <v>4519726.1195668187</v>
      </c>
      <c r="U80" s="108">
        <f t="shared" si="24"/>
        <v>3436.8920071652392</v>
      </c>
      <c r="V80" s="108">
        <f t="shared" si="24"/>
        <v>3436.8920071652392</v>
      </c>
      <c r="W80" s="135">
        <v>2022</v>
      </c>
      <c r="X80" s="28" t="e">
        <f>+#REF!-'[1]Приложение №1'!$P1025</f>
        <v>#REF!</v>
      </c>
      <c r="Z80" s="30">
        <f t="shared" si="25"/>
        <v>48841397.922002405</v>
      </c>
      <c r="AA80" s="26"/>
      <c r="AB80" s="26">
        <v>4165477.2147311401</v>
      </c>
      <c r="AC80" s="26">
        <v>4403217.8352661803</v>
      </c>
      <c r="AD80" s="26">
        <v>3357491.0318031595</v>
      </c>
      <c r="AE80" s="26">
        <v>1341248.93566524</v>
      </c>
      <c r="AF80" s="26"/>
      <c r="AG80" s="26">
        <v>357896.73428460007</v>
      </c>
      <c r="AH80" s="26">
        <v>0</v>
      </c>
      <c r="AI80" s="26"/>
      <c r="AJ80" s="26">
        <v>0</v>
      </c>
      <c r="AK80" s="26">
        <v>24893551.051466998</v>
      </c>
      <c r="AL80" s="26"/>
      <c r="AM80" s="26">
        <v>8041636.4647000004</v>
      </c>
      <c r="AN80" s="31">
        <v>786561.17310000001</v>
      </c>
      <c r="AO80" s="32">
        <v>1494317.4809850804</v>
      </c>
      <c r="AP80" s="77">
        <f>+N80-'Приложение №2'!E80</f>
        <v>0</v>
      </c>
      <c r="AQ80" s="1">
        <v>1938809.74</v>
      </c>
      <c r="AR80" s="1">
        <f t="shared" si="26"/>
        <v>452400.6</v>
      </c>
      <c r="AS80" s="1">
        <f>+(K80*10+L80*20)*12*30-6800843.52</f>
        <v>9166236.4800000004</v>
      </c>
      <c r="AT80" s="28">
        <f t="shared" si="27"/>
        <v>-435600</v>
      </c>
    </row>
    <row r="81" spans="1:46" x14ac:dyDescent="0.25">
      <c r="A81" s="72">
        <f t="shared" si="10"/>
        <v>64</v>
      </c>
      <c r="B81" s="73">
        <f t="shared" si="11"/>
        <v>64</v>
      </c>
      <c r="C81" s="73" t="s">
        <v>51</v>
      </c>
      <c r="D81" s="120" t="s">
        <v>405</v>
      </c>
      <c r="E81" s="121">
        <v>1979</v>
      </c>
      <c r="F81" s="121">
        <v>2008</v>
      </c>
      <c r="G81" s="121" t="s">
        <v>83</v>
      </c>
      <c r="H81" s="121">
        <v>5</v>
      </c>
      <c r="I81" s="121">
        <v>4</v>
      </c>
      <c r="J81" s="107">
        <v>4897.1000000000004</v>
      </c>
      <c r="K81" s="107">
        <v>4311.8999999999996</v>
      </c>
      <c r="L81" s="107">
        <v>0</v>
      </c>
      <c r="M81" s="122">
        <v>199</v>
      </c>
      <c r="N81" s="123">
        <f t="shared" si="23"/>
        <v>14905757.105931219</v>
      </c>
      <c r="O81" s="107"/>
      <c r="P81" s="108"/>
      <c r="Q81" s="108"/>
      <c r="R81" s="108">
        <v>1319980.6299999999</v>
      </c>
      <c r="S81" s="108">
        <f>+'Приложение №2'!E81-'Приложение №1'!R81-'Приложение №1'!T81</f>
        <v>7217514.8399999999</v>
      </c>
      <c r="T81" s="107">
        <v>6368261.6359312199</v>
      </c>
      <c r="U81" s="108">
        <f t="shared" si="24"/>
        <v>3456.8884032401538</v>
      </c>
      <c r="V81" s="108">
        <f t="shared" si="24"/>
        <v>3456.8884032401538</v>
      </c>
      <c r="W81" s="135">
        <v>2022</v>
      </c>
      <c r="X81" s="28" t="e">
        <f>+#REF!-'[1]Приложение №1'!$P1026</f>
        <v>#REF!</v>
      </c>
      <c r="Z81" s="30">
        <f t="shared" si="25"/>
        <v>66063234.670839608</v>
      </c>
      <c r="AA81" s="26">
        <v>7227671.0917319991</v>
      </c>
      <c r="AB81" s="26">
        <v>4179959.7862247396</v>
      </c>
      <c r="AC81" s="26">
        <v>4418526.9856534805</v>
      </c>
      <c r="AD81" s="26">
        <v>3369164.3891211599</v>
      </c>
      <c r="AE81" s="26">
        <v>1345912.20295434</v>
      </c>
      <c r="AF81" s="26"/>
      <c r="AG81" s="26">
        <v>359141.07311459997</v>
      </c>
      <c r="AH81" s="26">
        <v>0</v>
      </c>
      <c r="AI81" s="26"/>
      <c r="AJ81" s="26">
        <v>0</v>
      </c>
      <c r="AK81" s="26">
        <v>24980101.190715298</v>
      </c>
      <c r="AL81" s="26">
        <v>9824353.4120570999</v>
      </c>
      <c r="AM81" s="26">
        <v>8069595.7042000005</v>
      </c>
      <c r="AN81" s="31">
        <v>789295.89660000009</v>
      </c>
      <c r="AO81" s="32">
        <v>1499512.9384668807</v>
      </c>
      <c r="AP81" s="77">
        <f>+N81-'Приложение №2'!E81</f>
        <v>0</v>
      </c>
      <c r="AQ81" s="1">
        <v>2090807.65</v>
      </c>
      <c r="AR81" s="1">
        <f t="shared" si="26"/>
        <v>439813.8</v>
      </c>
      <c r="AS81" s="1">
        <f>+(K81*10+L81*20)*12*30-8305325.16</f>
        <v>7217514.8399999999</v>
      </c>
      <c r="AT81" s="28">
        <f t="shared" si="27"/>
        <v>0</v>
      </c>
    </row>
    <row r="82" spans="1:46" x14ac:dyDescent="0.25">
      <c r="A82" s="72">
        <f t="shared" si="10"/>
        <v>65</v>
      </c>
      <c r="B82" s="73">
        <f t="shared" si="11"/>
        <v>65</v>
      </c>
      <c r="C82" s="73" t="s">
        <v>51</v>
      </c>
      <c r="D82" s="120" t="s">
        <v>216</v>
      </c>
      <c r="E82" s="121">
        <v>1977</v>
      </c>
      <c r="F82" s="121">
        <v>2008</v>
      </c>
      <c r="G82" s="121" t="s">
        <v>83</v>
      </c>
      <c r="H82" s="121">
        <v>4</v>
      </c>
      <c r="I82" s="121">
        <v>4</v>
      </c>
      <c r="J82" s="107">
        <v>3978.4</v>
      </c>
      <c r="K82" s="107">
        <v>3426.4</v>
      </c>
      <c r="L82" s="107">
        <v>0</v>
      </c>
      <c r="M82" s="122">
        <v>156</v>
      </c>
      <c r="N82" s="123">
        <f t="shared" si="23"/>
        <v>9499544.7837941013</v>
      </c>
      <c r="O82" s="107"/>
      <c r="P82" s="108"/>
      <c r="Q82" s="108"/>
      <c r="R82" s="108">
        <f>+AQ82+AR82-102484.4</f>
        <v>1804243.37</v>
      </c>
      <c r="S82" s="108">
        <f>+'Приложение №2'!E82-'Приложение №1'!R82</f>
        <v>7695301.4137941012</v>
      </c>
      <c r="T82" s="107">
        <f>+'Приложение №2'!E82-'Приложение №1'!P82-'Приложение №1'!Q82-'Приложение №1'!R82-'Приложение №1'!S82</f>
        <v>0</v>
      </c>
      <c r="U82" s="108">
        <f t="shared" si="24"/>
        <v>2772.4564510255955</v>
      </c>
      <c r="V82" s="108">
        <f t="shared" si="24"/>
        <v>2772.4564510255955</v>
      </c>
      <c r="W82" s="135">
        <v>2022</v>
      </c>
      <c r="X82" s="28" t="e">
        <f>+#REF!-'[1]Приложение №1'!$P1028</f>
        <v>#REF!</v>
      </c>
      <c r="Z82" s="30">
        <f t="shared" si="25"/>
        <v>12575637.629999999</v>
      </c>
      <c r="AA82" s="26">
        <v>5842505.2034731191</v>
      </c>
      <c r="AB82" s="26">
        <v>0</v>
      </c>
      <c r="AC82" s="26">
        <v>3571726.84810158</v>
      </c>
      <c r="AD82" s="26">
        <v>0</v>
      </c>
      <c r="AE82" s="26">
        <v>1087971.3496965601</v>
      </c>
      <c r="AF82" s="26"/>
      <c r="AG82" s="26">
        <v>290312.54463120009</v>
      </c>
      <c r="AH82" s="26">
        <v>0</v>
      </c>
      <c r="AI82" s="26">
        <v>0</v>
      </c>
      <c r="AJ82" s="26">
        <v>0</v>
      </c>
      <c r="AK82" s="26">
        <v>0</v>
      </c>
      <c r="AL82" s="26">
        <v>0</v>
      </c>
      <c r="AM82" s="26">
        <v>1421354.8426000001</v>
      </c>
      <c r="AN82" s="31">
        <v>125756.3763</v>
      </c>
      <c r="AO82" s="32">
        <v>236010.46519754</v>
      </c>
      <c r="AP82" s="77">
        <f>+N82-'Приложение №2'!E82</f>
        <v>0</v>
      </c>
      <c r="AQ82" s="1">
        <v>1557234.97</v>
      </c>
      <c r="AR82" s="1">
        <f t="shared" si="26"/>
        <v>349492.8</v>
      </c>
      <c r="AS82" s="1">
        <f>+(K82*10+L82*20)*12*30</f>
        <v>12335040</v>
      </c>
      <c r="AT82" s="28">
        <f t="shared" si="27"/>
        <v>-4639738.5862058988</v>
      </c>
    </row>
    <row r="83" spans="1:46" x14ac:dyDescent="0.25">
      <c r="A83" s="72">
        <f t="shared" ref="A83:B98" si="28">+A82+1</f>
        <v>66</v>
      </c>
      <c r="B83" s="73">
        <f t="shared" si="28"/>
        <v>66</v>
      </c>
      <c r="C83" s="73" t="s">
        <v>51</v>
      </c>
      <c r="D83" s="120" t="s">
        <v>406</v>
      </c>
      <c r="E83" s="121">
        <v>1977</v>
      </c>
      <c r="F83" s="121">
        <v>2013</v>
      </c>
      <c r="G83" s="121" t="s">
        <v>83</v>
      </c>
      <c r="H83" s="121">
        <v>5</v>
      </c>
      <c r="I83" s="121">
        <v>4</v>
      </c>
      <c r="J83" s="107">
        <v>3776.9</v>
      </c>
      <c r="K83" s="107">
        <v>3428.1</v>
      </c>
      <c r="L83" s="107">
        <v>0</v>
      </c>
      <c r="M83" s="122">
        <v>165</v>
      </c>
      <c r="N83" s="123">
        <f t="shared" si="23"/>
        <v>6122093.3446254004</v>
      </c>
      <c r="O83" s="107"/>
      <c r="P83" s="108">
        <v>1902810.5300000007</v>
      </c>
      <c r="Q83" s="108"/>
      <c r="R83" s="108">
        <f>+AQ83+AR83-750257.76</f>
        <v>1319637.71</v>
      </c>
      <c r="S83" s="108">
        <f>+'Приложение №2'!E83-'Приложение №1'!R83-P83</f>
        <v>2899645.1046253997</v>
      </c>
      <c r="T83" s="107">
        <f>+'Приложение №2'!E83-'Приложение №1'!P83-'Приложение №1'!Q83-'Приложение №1'!R83-'Приложение №1'!S83</f>
        <v>0</v>
      </c>
      <c r="U83" s="108">
        <f t="shared" si="24"/>
        <v>1785.8561140647591</v>
      </c>
      <c r="V83" s="108">
        <f t="shared" si="24"/>
        <v>1785.8561140647591</v>
      </c>
      <c r="W83" s="135">
        <v>2022</v>
      </c>
      <c r="X83" s="28" t="e">
        <f>+#REF!-'[1]Приложение №1'!$P1029</f>
        <v>#REF!</v>
      </c>
      <c r="Z83" s="30">
        <f t="shared" si="25"/>
        <v>48865245.616670541</v>
      </c>
      <c r="AA83" s="26">
        <v>5729314.5934642795</v>
      </c>
      <c r="AB83" s="26">
        <v>3313419.2585243396</v>
      </c>
      <c r="AC83" s="26"/>
      <c r="AD83" s="26">
        <v>2670708.5095941597</v>
      </c>
      <c r="AE83" s="26">
        <v>1066893.3801993597</v>
      </c>
      <c r="AF83" s="26"/>
      <c r="AG83" s="26">
        <v>284688.13311960007</v>
      </c>
      <c r="AH83" s="26">
        <v>0</v>
      </c>
      <c r="AI83" s="26"/>
      <c r="AJ83" s="26">
        <v>0</v>
      </c>
      <c r="AK83" s="26">
        <v>19801517.854670577</v>
      </c>
      <c r="AL83" s="26">
        <v>7787683.0063746003</v>
      </c>
      <c r="AM83" s="26">
        <v>6396701.2079000007</v>
      </c>
      <c r="AN83" s="31">
        <v>625668.27380000008</v>
      </c>
      <c r="AO83" s="32">
        <v>1188651.3990236199</v>
      </c>
      <c r="AP83" s="77">
        <f>+N83-'Приложение №2'!E83</f>
        <v>0</v>
      </c>
      <c r="AQ83" s="1">
        <v>1720229.27</v>
      </c>
      <c r="AR83" s="1">
        <f t="shared" si="26"/>
        <v>349666.2</v>
      </c>
      <c r="AS83" s="1">
        <f>+(K83*10+L83*20)*12*30</f>
        <v>12341160</v>
      </c>
      <c r="AT83" s="28">
        <f t="shared" si="27"/>
        <v>-9441514.8953745998</v>
      </c>
    </row>
    <row r="84" spans="1:46" x14ac:dyDescent="0.25">
      <c r="A84" s="72">
        <f t="shared" si="28"/>
        <v>67</v>
      </c>
      <c r="B84" s="73">
        <f t="shared" si="28"/>
        <v>67</v>
      </c>
      <c r="C84" s="73" t="s">
        <v>51</v>
      </c>
      <c r="D84" s="120" t="s">
        <v>407</v>
      </c>
      <c r="E84" s="121">
        <v>1978</v>
      </c>
      <c r="F84" s="121">
        <v>2008</v>
      </c>
      <c r="G84" s="121" t="s">
        <v>83</v>
      </c>
      <c r="H84" s="121">
        <v>5</v>
      </c>
      <c r="I84" s="121">
        <v>4</v>
      </c>
      <c r="J84" s="107">
        <v>3883.8</v>
      </c>
      <c r="K84" s="107">
        <v>3458.3</v>
      </c>
      <c r="L84" s="107">
        <v>0</v>
      </c>
      <c r="M84" s="122">
        <v>222</v>
      </c>
      <c r="N84" s="123">
        <f t="shared" si="23"/>
        <v>13180476.834345801</v>
      </c>
      <c r="O84" s="107"/>
      <c r="P84" s="108">
        <v>3368341.02</v>
      </c>
      <c r="Q84" s="108"/>
      <c r="R84" s="108">
        <f>+AQ84+AR84-976547.58</f>
        <v>1029202.7300000001</v>
      </c>
      <c r="S84" s="108">
        <f>+'Приложение №2'!E84-'Приложение №1'!R84-P84</f>
        <v>8782933.0843458008</v>
      </c>
      <c r="T84" s="107">
        <f>+'Приложение №2'!E84-'Приложение №1'!P84-'Приложение №1'!Q84-'Приложение №1'!R84-'Приложение №1'!S84</f>
        <v>0</v>
      </c>
      <c r="U84" s="108">
        <f t="shared" si="24"/>
        <v>3811.2589521862765</v>
      </c>
      <c r="V84" s="108">
        <f t="shared" si="24"/>
        <v>3811.2589521862765</v>
      </c>
      <c r="W84" s="135">
        <v>2022</v>
      </c>
      <c r="X84" s="28" t="e">
        <f>+#REF!-'[1]Приложение №1'!$P1032</f>
        <v>#REF!</v>
      </c>
      <c r="Z84" s="30">
        <f t="shared" si="25"/>
        <v>63420061.129999995</v>
      </c>
      <c r="AA84" s="26">
        <v>5807446.1655264599</v>
      </c>
      <c r="AB84" s="26">
        <v>3358604.8833262799</v>
      </c>
      <c r="AC84" s="26">
        <v>3550294.0375593598</v>
      </c>
      <c r="AD84" s="26">
        <v>2707129.3844263195</v>
      </c>
      <c r="AE84" s="26">
        <v>1081442.7754918202</v>
      </c>
      <c r="AF84" s="26"/>
      <c r="AG84" s="26">
        <v>288570.47026920004</v>
      </c>
      <c r="AH84" s="26">
        <v>0</v>
      </c>
      <c r="AI84" s="26">
        <v>10338138.3710934</v>
      </c>
      <c r="AJ84" s="26">
        <v>0</v>
      </c>
      <c r="AK84" s="26">
        <v>20071554.294351</v>
      </c>
      <c r="AL84" s="26">
        <v>7893884.8726541996</v>
      </c>
      <c r="AM84" s="26">
        <v>6483934.0373000009</v>
      </c>
      <c r="AN84" s="31">
        <v>634200.61129999999</v>
      </c>
      <c r="AO84" s="32">
        <v>1204861.22670196</v>
      </c>
      <c r="AP84" s="77">
        <f>+N84-'Приложение №2'!E84</f>
        <v>0</v>
      </c>
      <c r="AQ84" s="1">
        <v>1653003.71</v>
      </c>
      <c r="AR84" s="1">
        <f t="shared" si="26"/>
        <v>352746.6</v>
      </c>
      <c r="AS84" s="1">
        <f>+(K84*10+L84*20)*12*30</f>
        <v>12449880</v>
      </c>
      <c r="AT84" s="28">
        <f t="shared" si="27"/>
        <v>-3666946.9156541992</v>
      </c>
    </row>
    <row r="85" spans="1:46" x14ac:dyDescent="0.25">
      <c r="A85" s="72">
        <f t="shared" si="28"/>
        <v>68</v>
      </c>
      <c r="B85" s="73">
        <f t="shared" si="28"/>
        <v>68</v>
      </c>
      <c r="C85" s="73" t="s">
        <v>51</v>
      </c>
      <c r="D85" s="120" t="s">
        <v>408</v>
      </c>
      <c r="E85" s="121">
        <v>1978</v>
      </c>
      <c r="F85" s="121">
        <v>2013</v>
      </c>
      <c r="G85" s="121" t="s">
        <v>83</v>
      </c>
      <c r="H85" s="121">
        <v>5</v>
      </c>
      <c r="I85" s="121">
        <v>4</v>
      </c>
      <c r="J85" s="107">
        <v>4866.6000000000004</v>
      </c>
      <c r="K85" s="107">
        <v>4226.8</v>
      </c>
      <c r="L85" s="107">
        <v>67</v>
      </c>
      <c r="M85" s="122">
        <v>317</v>
      </c>
      <c r="N85" s="123">
        <f t="shared" si="23"/>
        <v>6961640.1664998997</v>
      </c>
      <c r="O85" s="107"/>
      <c r="P85" s="108">
        <v>2801964.8706000075</v>
      </c>
      <c r="Q85" s="108"/>
      <c r="R85" s="108">
        <f>+'Приложение №2'!E85-'Приложение №1'!P85-'Приложение №1'!S85</f>
        <v>360566.95649989974</v>
      </c>
      <c r="S85" s="108">
        <v>3799108.3393999925</v>
      </c>
      <c r="T85" s="107">
        <f>+'Приложение №2'!E85-'Приложение №1'!P85-'Приложение №1'!Q85-'Приложение №1'!R85-'Приложение №1'!S85</f>
        <v>0</v>
      </c>
      <c r="U85" s="108">
        <f t="shared" si="24"/>
        <v>1621.3238079323442</v>
      </c>
      <c r="V85" s="108">
        <f t="shared" si="24"/>
        <v>1621.3238079323442</v>
      </c>
      <c r="W85" s="135">
        <v>2022</v>
      </c>
      <c r="X85" s="28" t="e">
        <f>+#REF!-'[1]Приложение №1'!$P1034</f>
        <v>#REF!</v>
      </c>
      <c r="Z85" s="30">
        <f t="shared" si="25"/>
        <v>73977525.395146951</v>
      </c>
      <c r="AA85" s="26">
        <v>7175917.2738107406</v>
      </c>
      <c r="AB85" s="26">
        <v>4150029.1384713002</v>
      </c>
      <c r="AC85" s="26"/>
      <c r="AD85" s="26">
        <v>3345039.4506639596</v>
      </c>
      <c r="AE85" s="26">
        <v>1336274.7838901998</v>
      </c>
      <c r="AF85" s="26"/>
      <c r="AG85" s="26">
        <v>356569.43953259999</v>
      </c>
      <c r="AH85" s="26">
        <v>0</v>
      </c>
      <c r="AI85" s="26">
        <v>12774225.313571399</v>
      </c>
      <c r="AJ85" s="26">
        <v>0</v>
      </c>
      <c r="AK85" s="26">
        <v>24801230.902935479</v>
      </c>
      <c r="AL85" s="26">
        <v>9754006.0220001023</v>
      </c>
      <c r="AM85" s="26">
        <v>8011813.2759000007</v>
      </c>
      <c r="AN85" s="31">
        <v>783644.13470000017</v>
      </c>
      <c r="AO85" s="32">
        <v>1488775.6596711604</v>
      </c>
      <c r="AP85" s="77">
        <f>+N85-'Приложение №2'!E85</f>
        <v>0</v>
      </c>
      <c r="AQ85" s="1">
        <f>2064874.72-682951.44</f>
        <v>1381923.28</v>
      </c>
      <c r="AR85" s="1">
        <f t="shared" si="26"/>
        <v>444801.6</v>
      </c>
      <c r="AS85" s="1">
        <f>+(K85*10+L85*20)*12*30-4953727.17</f>
        <v>10745152.83</v>
      </c>
      <c r="AT85" s="28">
        <f t="shared" si="27"/>
        <v>-6946044.4906000076</v>
      </c>
    </row>
    <row r="86" spans="1:46" x14ac:dyDescent="0.25">
      <c r="A86" s="72">
        <f t="shared" si="28"/>
        <v>69</v>
      </c>
      <c r="B86" s="73">
        <f t="shared" si="28"/>
        <v>69</v>
      </c>
      <c r="C86" s="73" t="s">
        <v>51</v>
      </c>
      <c r="D86" s="120" t="s">
        <v>409</v>
      </c>
      <c r="E86" s="121">
        <v>1981</v>
      </c>
      <c r="F86" s="121">
        <v>2009</v>
      </c>
      <c r="G86" s="121" t="s">
        <v>83</v>
      </c>
      <c r="H86" s="121">
        <v>5</v>
      </c>
      <c r="I86" s="121">
        <v>4</v>
      </c>
      <c r="J86" s="107">
        <v>6938.7</v>
      </c>
      <c r="K86" s="107">
        <v>6182.6</v>
      </c>
      <c r="L86" s="107">
        <v>0</v>
      </c>
      <c r="M86" s="122">
        <v>194</v>
      </c>
      <c r="N86" s="123">
        <f t="shared" si="23"/>
        <v>31419194.676773798</v>
      </c>
      <c r="O86" s="107"/>
      <c r="P86" s="107">
        <v>2786108.66</v>
      </c>
      <c r="Q86" s="108"/>
      <c r="R86" s="108">
        <f>1946079.41+233304.37</f>
        <v>2179383.7799999998</v>
      </c>
      <c r="S86" s="108">
        <f>+'Приложение №2'!E86-'Приложение №1'!P86-'Приложение №1'!R86-'Приложение №1'!T86</f>
        <v>16449520.216773801</v>
      </c>
      <c r="T86" s="107">
        <v>10004182.02</v>
      </c>
      <c r="U86" s="108">
        <f t="shared" si="24"/>
        <v>5081.8740783446765</v>
      </c>
      <c r="V86" s="108">
        <f t="shared" si="24"/>
        <v>5081.8740783446765</v>
      </c>
      <c r="W86" s="135">
        <v>2022</v>
      </c>
      <c r="X86" s="28" t="e">
        <f>+#REF!-'[1]Приложение №1'!$P1035</f>
        <v>#REF!</v>
      </c>
      <c r="Z86" s="30">
        <f t="shared" si="25"/>
        <v>112490116.45000002</v>
      </c>
      <c r="AA86" s="26">
        <v>10300846.19123742</v>
      </c>
      <c r="AB86" s="26">
        <v>5957260.9616612401</v>
      </c>
      <c r="AC86" s="26">
        <v>6297265.9176991209</v>
      </c>
      <c r="AD86" s="26">
        <v>4801718.7991861207</v>
      </c>
      <c r="AE86" s="26">
        <v>1918188.3660231601</v>
      </c>
      <c r="AF86" s="26"/>
      <c r="AG86" s="26">
        <v>511846.3343322</v>
      </c>
      <c r="AH86" s="26">
        <v>0</v>
      </c>
      <c r="AI86" s="26">
        <v>18337074.5641356</v>
      </c>
      <c r="AJ86" s="26">
        <v>0</v>
      </c>
      <c r="AK86" s="26">
        <v>35601534.275782861</v>
      </c>
      <c r="AL86" s="26">
        <v>14001626.819054702</v>
      </c>
      <c r="AM86" s="26">
        <v>11500753.575800002</v>
      </c>
      <c r="AN86" s="31">
        <v>1124901.1645</v>
      </c>
      <c r="AO86" s="32">
        <v>2137099.4805875802</v>
      </c>
      <c r="AP86" s="77">
        <f>+N86-'Приложение №2'!E86</f>
        <v>0</v>
      </c>
      <c r="AQ86" s="1">
        <f>2933225.6-137130.98</f>
        <v>2796094.62</v>
      </c>
      <c r="AR86" s="1">
        <f t="shared" si="26"/>
        <v>630625.19999999995</v>
      </c>
      <c r="AS86" s="1">
        <f>+(K86*10+L86*20)*12*30</f>
        <v>22257360</v>
      </c>
      <c r="AT86" s="28">
        <f t="shared" si="27"/>
        <v>-5807839.7832261994</v>
      </c>
    </row>
    <row r="87" spans="1:46" s="34" customFormat="1" x14ac:dyDescent="0.25">
      <c r="A87" s="72">
        <f t="shared" si="28"/>
        <v>70</v>
      </c>
      <c r="B87" s="73">
        <f t="shared" si="28"/>
        <v>70</v>
      </c>
      <c r="C87" s="73" t="s">
        <v>51</v>
      </c>
      <c r="D87" s="120" t="s">
        <v>410</v>
      </c>
      <c r="E87" s="121" t="s">
        <v>93</v>
      </c>
      <c r="F87" s="121"/>
      <c r="G87" s="121" t="s">
        <v>83</v>
      </c>
      <c r="H87" s="121" t="s">
        <v>94</v>
      </c>
      <c r="I87" s="121" t="s">
        <v>97</v>
      </c>
      <c r="J87" s="107">
        <v>8385.68</v>
      </c>
      <c r="K87" s="107">
        <v>7039.3</v>
      </c>
      <c r="L87" s="107">
        <v>0</v>
      </c>
      <c r="M87" s="122">
        <v>255</v>
      </c>
      <c r="N87" s="123">
        <f t="shared" si="23"/>
        <v>9021353.7382023316</v>
      </c>
      <c r="O87" s="107">
        <v>0</v>
      </c>
      <c r="P87" s="108"/>
      <c r="Q87" s="108">
        <v>0</v>
      </c>
      <c r="R87" s="108">
        <f>+AQ87+AR87</f>
        <v>5101944.1893999996</v>
      </c>
      <c r="S87" s="108">
        <f>+'Приложение №2'!E87-'Приложение №1'!R87</f>
        <v>3919409.548802332</v>
      </c>
      <c r="T87" s="107">
        <f>+'Приложение №2'!E87-'Приложение №1'!P87-'Приложение №1'!Q87-'Приложение №1'!R87-'Приложение №1'!S87</f>
        <v>0</v>
      </c>
      <c r="U87" s="108">
        <f>N87/K87</f>
        <v>1281.569721165788</v>
      </c>
      <c r="V87" s="108">
        <v>1172.2830200640003</v>
      </c>
      <c r="W87" s="135">
        <v>2022</v>
      </c>
      <c r="X87" s="34">
        <v>3214815.68</v>
      </c>
      <c r="Y87" s="34">
        <f>+(K87*12.08+L87*20.47)*12</f>
        <v>1020416.9280000001</v>
      </c>
      <c r="AA87" s="35">
        <f>+N87-'[5]Приложение № 2'!E82</f>
        <v>8032944.6082023317</v>
      </c>
      <c r="AD87" s="35">
        <f>+N87-'[5]Приложение № 2'!E82</f>
        <v>8032944.6082023317</v>
      </c>
      <c r="AP87" s="77">
        <f>+N87-'Приложение №2'!E87</f>
        <v>0</v>
      </c>
      <c r="AQ87" s="34">
        <v>4147710.76</v>
      </c>
      <c r="AR87" s="1">
        <f>+(K87*13.29+L87*22.52)*12*0.85</f>
        <v>954233.42939999979</v>
      </c>
      <c r="AS87" s="1">
        <f>+(K87*13.29+L87*22.52)*12*30</f>
        <v>33678826.919999994</v>
      </c>
      <c r="AT87" s="28">
        <f t="shared" si="27"/>
        <v>-29759417.371197663</v>
      </c>
    </row>
    <row r="88" spans="1:46" x14ac:dyDescent="0.25">
      <c r="A88" s="72">
        <f t="shared" si="28"/>
        <v>71</v>
      </c>
      <c r="B88" s="73">
        <f t="shared" si="28"/>
        <v>71</v>
      </c>
      <c r="C88" s="73" t="s">
        <v>51</v>
      </c>
      <c r="D88" s="120" t="s">
        <v>411</v>
      </c>
      <c r="E88" s="121">
        <v>1990</v>
      </c>
      <c r="F88" s="121">
        <v>2005</v>
      </c>
      <c r="G88" s="121" t="s">
        <v>83</v>
      </c>
      <c r="H88" s="121">
        <v>5</v>
      </c>
      <c r="I88" s="121">
        <v>4</v>
      </c>
      <c r="J88" s="107">
        <v>4982</v>
      </c>
      <c r="K88" s="107">
        <v>4404.6000000000004</v>
      </c>
      <c r="L88" s="107">
        <v>0</v>
      </c>
      <c r="M88" s="122">
        <v>212</v>
      </c>
      <c r="N88" s="123">
        <f t="shared" si="23"/>
        <v>29481765.911612161</v>
      </c>
      <c r="O88" s="107"/>
      <c r="P88" s="108">
        <v>8060872.4300000006</v>
      </c>
      <c r="Q88" s="108"/>
      <c r="R88" s="108">
        <f>+AQ88+AR88</f>
        <v>2550477.0000000005</v>
      </c>
      <c r="S88" s="108">
        <f>+'Приложение №2'!E88-'Приложение №1'!P88-'Приложение №1'!R88-'Приложение №1'!T88</f>
        <v>16238030.801612156</v>
      </c>
      <c r="T88" s="107">
        <v>2632385.6800000016</v>
      </c>
      <c r="U88" s="108">
        <f t="shared" ref="U88:V121" si="29">$N88/($K88+$L88)</f>
        <v>6693.4036942315215</v>
      </c>
      <c r="V88" s="108">
        <f t="shared" si="29"/>
        <v>6693.4036942315215</v>
      </c>
      <c r="W88" s="135">
        <v>2022</v>
      </c>
      <c r="X88" s="28" t="e">
        <f>+#REF!-'[1]Приложение №1'!$P1043</f>
        <v>#REF!</v>
      </c>
      <c r="Z88" s="30">
        <f t="shared" ref="Z88:Z121" si="30">SUM(AA88:AO88)</f>
        <v>49032236.020000011</v>
      </c>
      <c r="AA88" s="26">
        <v>0</v>
      </c>
      <c r="AB88" s="26">
        <v>0</v>
      </c>
      <c r="AC88" s="26">
        <v>4479661.5288129607</v>
      </c>
      <c r="AD88" s="26">
        <v>0</v>
      </c>
      <c r="AE88" s="26">
        <v>0</v>
      </c>
      <c r="AF88" s="26"/>
      <c r="AG88" s="26">
        <v>0</v>
      </c>
      <c r="AH88" s="26">
        <v>0</v>
      </c>
      <c r="AI88" s="26">
        <v>13044373.2933948</v>
      </c>
      <c r="AJ88" s="26">
        <v>0</v>
      </c>
      <c r="AK88" s="26">
        <v>25325724.749393042</v>
      </c>
      <c r="AL88" s="26">
        <v>0</v>
      </c>
      <c r="AM88" s="26">
        <v>4755116.6318000006</v>
      </c>
      <c r="AN88" s="31">
        <v>490322.3602</v>
      </c>
      <c r="AO88" s="32">
        <v>937037.45639919979</v>
      </c>
      <c r="AP88" s="77">
        <f>+N88-'Приложение №2'!E88</f>
        <v>0</v>
      </c>
      <c r="AQ88" s="1">
        <f>2210839.58-109631.78</f>
        <v>2101207.8000000003</v>
      </c>
      <c r="AR88" s="1">
        <f t="shared" ref="AR88:AR111" si="31">+(K88*10+L88*20)*12*0.85</f>
        <v>449269.2</v>
      </c>
      <c r="AS88" s="1">
        <f>+(K88*10+L88*20)*12*30-126359.21</f>
        <v>15730200.789999999</v>
      </c>
      <c r="AT88" s="28">
        <f t="shared" si="27"/>
        <v>507830.01161215641</v>
      </c>
    </row>
    <row r="89" spans="1:46" x14ac:dyDescent="0.25">
      <c r="A89" s="72">
        <f t="shared" si="28"/>
        <v>72</v>
      </c>
      <c r="B89" s="73">
        <f t="shared" si="28"/>
        <v>72</v>
      </c>
      <c r="C89" s="73" t="s">
        <v>51</v>
      </c>
      <c r="D89" s="120" t="s">
        <v>172</v>
      </c>
      <c r="E89" s="121">
        <v>1970</v>
      </c>
      <c r="F89" s="121">
        <v>2013</v>
      </c>
      <c r="G89" s="121" t="s">
        <v>43</v>
      </c>
      <c r="H89" s="121">
        <v>5</v>
      </c>
      <c r="I89" s="121">
        <v>4</v>
      </c>
      <c r="J89" s="107">
        <v>3068</v>
      </c>
      <c r="K89" s="107">
        <v>2483.8000000000002</v>
      </c>
      <c r="L89" s="107">
        <v>584.20000000000005</v>
      </c>
      <c r="M89" s="122">
        <v>142</v>
      </c>
      <c r="N89" s="123">
        <f t="shared" ref="N89:N113" si="32">+P89+Q89+R89+S89+T89</f>
        <v>1195255.9053653199</v>
      </c>
      <c r="O89" s="107"/>
      <c r="P89" s="108"/>
      <c r="Q89" s="108"/>
      <c r="R89" s="108">
        <f>+'Приложение №2'!E89-'Приложение №1'!S89</f>
        <v>138246.74536532001</v>
      </c>
      <c r="S89" s="107">
        <v>1057009.1599999999</v>
      </c>
      <c r="T89" s="107"/>
      <c r="U89" s="108">
        <f t="shared" si="29"/>
        <v>389.58797436940023</v>
      </c>
      <c r="V89" s="108">
        <f t="shared" si="29"/>
        <v>389.58797436940023</v>
      </c>
      <c r="W89" s="135">
        <v>2022</v>
      </c>
      <c r="X89" s="28" t="e">
        <f>+#REF!-'[1]Приложение №1'!$P1441</f>
        <v>#REF!</v>
      </c>
      <c r="Z89" s="30">
        <f t="shared" si="30"/>
        <v>25875618.41</v>
      </c>
      <c r="AA89" s="26">
        <v>5945419.54417866</v>
      </c>
      <c r="AB89" s="26">
        <v>2118597.4078747798</v>
      </c>
      <c r="AC89" s="26">
        <v>2213462.8846331402</v>
      </c>
      <c r="AD89" s="26">
        <v>1385767.7235401999</v>
      </c>
      <c r="AE89" s="26">
        <v>0</v>
      </c>
      <c r="AF89" s="26"/>
      <c r="AG89" s="26">
        <v>228142.02967667999</v>
      </c>
      <c r="AH89" s="26">
        <v>0</v>
      </c>
      <c r="AI89" s="26">
        <v>10869131.540912401</v>
      </c>
      <c r="AJ89" s="26">
        <v>0</v>
      </c>
      <c r="AK89" s="26">
        <v>0</v>
      </c>
      <c r="AL89" s="26">
        <v>0</v>
      </c>
      <c r="AM89" s="26">
        <v>2358614.5958000002</v>
      </c>
      <c r="AN89" s="31">
        <v>258756.18410000001</v>
      </c>
      <c r="AO89" s="32">
        <v>497726.49928414001</v>
      </c>
      <c r="AP89" s="77">
        <f>+N89-'Приложение №2'!E89</f>
        <v>0</v>
      </c>
      <c r="AQ89" s="1">
        <v>504168.77</v>
      </c>
      <c r="AR89" s="1">
        <f t="shared" si="31"/>
        <v>372524.39999999997</v>
      </c>
      <c r="AS89" s="1">
        <f>+(K89*10+L89*20)*12*30</f>
        <v>13147920</v>
      </c>
      <c r="AT89" s="28">
        <f t="shared" si="27"/>
        <v>-12090910.84</v>
      </c>
    </row>
    <row r="90" spans="1:46" x14ac:dyDescent="0.25">
      <c r="A90" s="72">
        <f t="shared" si="28"/>
        <v>73</v>
      </c>
      <c r="B90" s="73">
        <f t="shared" si="28"/>
        <v>73</v>
      </c>
      <c r="C90" s="73" t="s">
        <v>51</v>
      </c>
      <c r="D90" s="120" t="s">
        <v>412</v>
      </c>
      <c r="E90" s="121">
        <v>1996</v>
      </c>
      <c r="F90" s="121"/>
      <c r="G90" s="121" t="s">
        <v>83</v>
      </c>
      <c r="H90" s="121">
        <v>5</v>
      </c>
      <c r="I90" s="121">
        <v>2</v>
      </c>
      <c r="J90" s="107">
        <v>3019</v>
      </c>
      <c r="K90" s="107">
        <v>2443.9</v>
      </c>
      <c r="L90" s="107">
        <v>0</v>
      </c>
      <c r="M90" s="122">
        <v>97</v>
      </c>
      <c r="N90" s="123">
        <f t="shared" si="32"/>
        <v>5574102.9828846604</v>
      </c>
      <c r="O90" s="107"/>
      <c r="P90" s="108">
        <v>421112.51</v>
      </c>
      <c r="Q90" s="108"/>
      <c r="R90" s="108">
        <f>+AQ90+AR90-103102.05-574610.82</f>
        <v>1310388.0899999999</v>
      </c>
      <c r="S90" s="108">
        <f>+'Приложение №2'!E90-'Приложение №1'!R90-P90</f>
        <v>3842602.3828846607</v>
      </c>
      <c r="T90" s="107">
        <f>+'Приложение №2'!E90-'Приложение №1'!P90-'Приложение №1'!Q90-'Приложение №1'!R90-'Приложение №1'!S90</f>
        <v>0</v>
      </c>
      <c r="U90" s="108">
        <f t="shared" si="29"/>
        <v>2280.8228580893901</v>
      </c>
      <c r="V90" s="108">
        <f t="shared" si="29"/>
        <v>2280.8228580893901</v>
      </c>
      <c r="W90" s="135">
        <v>2022</v>
      </c>
      <c r="X90" s="28" t="e">
        <f>+#REF!-'[1]Приложение №1'!$P1442</f>
        <v>#REF!</v>
      </c>
      <c r="Z90" s="30">
        <f t="shared" si="30"/>
        <v>42710518.469999999</v>
      </c>
      <c r="AA90" s="26">
        <v>4563184.2077858401</v>
      </c>
      <c r="AB90" s="26">
        <v>2639014.1793056997</v>
      </c>
      <c r="AC90" s="26">
        <v>2789633.3844447597</v>
      </c>
      <c r="AD90" s="26">
        <v>2127119.1704859594</v>
      </c>
      <c r="AE90" s="26">
        <v>849740.56339409994</v>
      </c>
      <c r="AF90" s="26"/>
      <c r="AG90" s="26">
        <v>226743.42160260002</v>
      </c>
      <c r="AH90" s="26">
        <v>0</v>
      </c>
      <c r="AI90" s="26">
        <v>8123162.6588364001</v>
      </c>
      <c r="AJ90" s="26">
        <v>0</v>
      </c>
      <c r="AK90" s="26">
        <v>15771166.374696182</v>
      </c>
      <c r="AL90" s="26">
        <v>0</v>
      </c>
      <c r="AM90" s="26">
        <v>4382571.3064000001</v>
      </c>
      <c r="AN90" s="31">
        <v>427105.18469999998</v>
      </c>
      <c r="AO90" s="32">
        <v>811078.01834846009</v>
      </c>
      <c r="AP90" s="77">
        <f>+N90-'Приложение №2'!E90</f>
        <v>0</v>
      </c>
      <c r="AQ90" s="1">
        <v>1738823.16</v>
      </c>
      <c r="AR90" s="1">
        <f t="shared" si="31"/>
        <v>249277.8</v>
      </c>
      <c r="AS90" s="1">
        <f>+(K90*10+L90*20)*12*30</f>
        <v>8798040</v>
      </c>
      <c r="AT90" s="28">
        <f t="shared" si="27"/>
        <v>-4955437.6171153393</v>
      </c>
    </row>
    <row r="91" spans="1:46" x14ac:dyDescent="0.25">
      <c r="A91" s="72">
        <f t="shared" si="28"/>
        <v>74</v>
      </c>
      <c r="B91" s="73">
        <f t="shared" si="28"/>
        <v>74</v>
      </c>
      <c r="C91" s="73" t="s">
        <v>51</v>
      </c>
      <c r="D91" s="120" t="s">
        <v>413</v>
      </c>
      <c r="E91" s="121">
        <v>1982</v>
      </c>
      <c r="F91" s="121">
        <v>2013</v>
      </c>
      <c r="G91" s="121" t="s">
        <v>83</v>
      </c>
      <c r="H91" s="121">
        <v>5</v>
      </c>
      <c r="I91" s="121">
        <v>4</v>
      </c>
      <c r="J91" s="107">
        <v>4923.8999999999996</v>
      </c>
      <c r="K91" s="107">
        <v>4353.2</v>
      </c>
      <c r="L91" s="107">
        <v>0</v>
      </c>
      <c r="M91" s="122">
        <v>184</v>
      </c>
      <c r="N91" s="123">
        <f t="shared" si="32"/>
        <v>2006872.7686219998</v>
      </c>
      <c r="O91" s="107"/>
      <c r="P91" s="108"/>
      <c r="Q91" s="108"/>
      <c r="R91" s="108">
        <f>+'Приложение №2'!E91</f>
        <v>2006872.7686219998</v>
      </c>
      <c r="S91" s="108">
        <f>+'Приложение №2'!E91-'Приложение №1'!R91</f>
        <v>0</v>
      </c>
      <c r="T91" s="107">
        <f>+'Приложение №2'!E91-'Приложение №1'!P91-'Приложение №1'!Q91-'Приложение №1'!R91-'Приложение №1'!S91</f>
        <v>0</v>
      </c>
      <c r="U91" s="108">
        <f t="shared" si="29"/>
        <v>461.01092727694567</v>
      </c>
      <c r="V91" s="108">
        <f t="shared" si="29"/>
        <v>461.01092727694567</v>
      </c>
      <c r="W91" s="135">
        <v>2022</v>
      </c>
      <c r="X91" s="28" t="e">
        <f>+#REF!-'[1]Приложение №1'!$P1051</f>
        <v>#REF!</v>
      </c>
      <c r="Z91" s="30">
        <f t="shared" si="30"/>
        <v>2003612.24</v>
      </c>
      <c r="AA91" s="26">
        <v>0</v>
      </c>
      <c r="AB91" s="26">
        <v>0</v>
      </c>
      <c r="AC91" s="26">
        <v>0</v>
      </c>
      <c r="AD91" s="26">
        <v>0</v>
      </c>
      <c r="AE91" s="26">
        <v>1857825.9394380001</v>
      </c>
      <c r="AF91" s="26"/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99984.47</v>
      </c>
      <c r="AN91" s="26">
        <v>5174.9399999999996</v>
      </c>
      <c r="AO91" s="32">
        <v>40626.890562000008</v>
      </c>
      <c r="AP91" s="77">
        <f>+N91-'Приложение №2'!E91</f>
        <v>0</v>
      </c>
      <c r="AQ91" s="1">
        <v>2027227.26</v>
      </c>
      <c r="AR91" s="1">
        <f t="shared" si="31"/>
        <v>444026.39999999997</v>
      </c>
      <c r="AS91" s="1">
        <f>+(K91*10+L91*20)*12*30</f>
        <v>15671520</v>
      </c>
      <c r="AT91" s="28">
        <f t="shared" si="27"/>
        <v>-15671520</v>
      </c>
    </row>
    <row r="92" spans="1:46" x14ac:dyDescent="0.25">
      <c r="A92" s="72">
        <f t="shared" si="28"/>
        <v>75</v>
      </c>
      <c r="B92" s="73">
        <f t="shared" si="28"/>
        <v>75</v>
      </c>
      <c r="C92" s="73" t="s">
        <v>51</v>
      </c>
      <c r="D92" s="120" t="s">
        <v>414</v>
      </c>
      <c r="E92" s="121">
        <v>1981</v>
      </c>
      <c r="F92" s="121">
        <v>2013</v>
      </c>
      <c r="G92" s="121" t="s">
        <v>83</v>
      </c>
      <c r="H92" s="121">
        <v>5</v>
      </c>
      <c r="I92" s="121">
        <v>4</v>
      </c>
      <c r="J92" s="107">
        <v>4944.1000000000004</v>
      </c>
      <c r="K92" s="107">
        <v>4354.8999999999996</v>
      </c>
      <c r="L92" s="107">
        <v>0</v>
      </c>
      <c r="M92" s="122">
        <v>212</v>
      </c>
      <c r="N92" s="123">
        <f t="shared" si="32"/>
        <v>2008071.8906700001</v>
      </c>
      <c r="O92" s="107"/>
      <c r="P92" s="108"/>
      <c r="Q92" s="108"/>
      <c r="R92" s="108">
        <f>+'Приложение №2'!E92</f>
        <v>2008071.8906700001</v>
      </c>
      <c r="S92" s="108">
        <f>+'Приложение №2'!E92-'Приложение №1'!R92</f>
        <v>0</v>
      </c>
      <c r="T92" s="107">
        <f>+'Приложение №2'!E92-'Приложение №1'!P92-'Приложение №1'!Q92-'Приложение №1'!R92-'Приложение №1'!S92</f>
        <v>0</v>
      </c>
      <c r="U92" s="108">
        <f t="shared" si="29"/>
        <v>461.10631487979066</v>
      </c>
      <c r="V92" s="108">
        <f t="shared" si="29"/>
        <v>461.10631487979066</v>
      </c>
      <c r="W92" s="135">
        <v>2022</v>
      </c>
      <c r="X92" s="28" t="e">
        <f>+#REF!-'[1]Приложение №1'!$P1052</f>
        <v>#REF!</v>
      </c>
      <c r="Z92" s="30">
        <f t="shared" si="30"/>
        <v>2005269.71</v>
      </c>
      <c r="AA92" s="26">
        <v>0</v>
      </c>
      <c r="AB92" s="26">
        <v>0</v>
      </c>
      <c r="AC92" s="26">
        <v>0</v>
      </c>
      <c r="AD92" s="26">
        <v>0</v>
      </c>
      <c r="AE92" s="26">
        <v>1855611.1229879998</v>
      </c>
      <c r="AF92" s="26"/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103902.76</v>
      </c>
      <c r="AN92" s="26">
        <v>5177.37</v>
      </c>
      <c r="AO92" s="32">
        <v>40578.457011999999</v>
      </c>
      <c r="AP92" s="77">
        <f>+N92-'Приложение №2'!E92</f>
        <v>0</v>
      </c>
      <c r="AQ92" s="1">
        <v>2139968.2200000002</v>
      </c>
      <c r="AR92" s="1">
        <f t="shared" si="31"/>
        <v>444199.8</v>
      </c>
      <c r="AS92" s="1">
        <f>+(K92*10+L92*20)*12*30</f>
        <v>15677640</v>
      </c>
      <c r="AT92" s="28">
        <f t="shared" si="27"/>
        <v>-15677640</v>
      </c>
    </row>
    <row r="93" spans="1:46" x14ac:dyDescent="0.25">
      <c r="A93" s="72">
        <f t="shared" si="28"/>
        <v>76</v>
      </c>
      <c r="B93" s="73">
        <f t="shared" si="28"/>
        <v>76</v>
      </c>
      <c r="C93" s="73" t="s">
        <v>51</v>
      </c>
      <c r="D93" s="120" t="s">
        <v>415</v>
      </c>
      <c r="E93" s="121">
        <v>1985</v>
      </c>
      <c r="F93" s="121">
        <v>2013</v>
      </c>
      <c r="G93" s="121" t="s">
        <v>83</v>
      </c>
      <c r="H93" s="121">
        <v>5</v>
      </c>
      <c r="I93" s="121">
        <v>4</v>
      </c>
      <c r="J93" s="107">
        <v>4831.5</v>
      </c>
      <c r="K93" s="107">
        <v>4248.8999999999996</v>
      </c>
      <c r="L93" s="107">
        <v>0</v>
      </c>
      <c r="M93" s="122">
        <v>185</v>
      </c>
      <c r="N93" s="123">
        <f t="shared" si="32"/>
        <v>2179061.4200000004</v>
      </c>
      <c r="O93" s="107"/>
      <c r="P93" s="108"/>
      <c r="Q93" s="108"/>
      <c r="R93" s="108">
        <v>1146251.6500000001</v>
      </c>
      <c r="S93" s="108">
        <f>+'Приложение №2'!E93-'Приложение №1'!R93</f>
        <v>1032809.7700000003</v>
      </c>
      <c r="T93" s="107"/>
      <c r="U93" s="108">
        <f t="shared" si="29"/>
        <v>512.85307255995679</v>
      </c>
      <c r="V93" s="108">
        <f t="shared" si="29"/>
        <v>512.85307255995679</v>
      </c>
      <c r="W93" s="135">
        <v>2022</v>
      </c>
      <c r="X93" s="28" t="e">
        <f>+#REF!-'[1]Приложение №1'!$P1053</f>
        <v>#REF!</v>
      </c>
      <c r="Z93" s="30">
        <f t="shared" si="30"/>
        <v>14731405.994299399</v>
      </c>
      <c r="AA93" s="26">
        <v>0</v>
      </c>
      <c r="AB93" s="26">
        <v>0</v>
      </c>
      <c r="AC93" s="26">
        <v>0</v>
      </c>
      <c r="AD93" s="26">
        <v>0</v>
      </c>
      <c r="AE93" s="26">
        <v>1320450.7628806198</v>
      </c>
      <c r="AF93" s="26"/>
      <c r="AG93" s="26">
        <v>0</v>
      </c>
      <c r="AH93" s="26">
        <v>0</v>
      </c>
      <c r="AI93" s="26"/>
      <c r="AJ93" s="26">
        <v>0</v>
      </c>
      <c r="AK93" s="26">
        <v>0</v>
      </c>
      <c r="AL93" s="26">
        <v>9638500.1460678</v>
      </c>
      <c r="AM93" s="26">
        <v>2983222.9760999996</v>
      </c>
      <c r="AN93" s="31">
        <v>273543.60320000001</v>
      </c>
      <c r="AO93" s="32">
        <v>515688.50605098007</v>
      </c>
      <c r="AP93" s="77" t="s">
        <v>253</v>
      </c>
      <c r="AQ93" s="1">
        <f>2031310.17-1377300.63</f>
        <v>654009.54</v>
      </c>
      <c r="AR93" s="1">
        <f t="shared" si="31"/>
        <v>433387.8</v>
      </c>
      <c r="AS93" s="1">
        <f>+(K93*10+L93*20)*12*30-4430181.56</f>
        <v>10865858.440000001</v>
      </c>
      <c r="AT93" s="28">
        <f t="shared" si="27"/>
        <v>-9833048.6700000018</v>
      </c>
    </row>
    <row r="94" spans="1:46" x14ac:dyDescent="0.25">
      <c r="A94" s="72">
        <f t="shared" si="28"/>
        <v>77</v>
      </c>
      <c r="B94" s="73">
        <f t="shared" si="28"/>
        <v>77</v>
      </c>
      <c r="C94" s="73" t="s">
        <v>51</v>
      </c>
      <c r="D94" s="120" t="s">
        <v>416</v>
      </c>
      <c r="E94" s="121">
        <v>1973</v>
      </c>
      <c r="F94" s="121">
        <v>2013</v>
      </c>
      <c r="G94" s="121" t="s">
        <v>43</v>
      </c>
      <c r="H94" s="121">
        <v>4</v>
      </c>
      <c r="I94" s="121">
        <v>4</v>
      </c>
      <c r="J94" s="107">
        <v>2799.6</v>
      </c>
      <c r="K94" s="107">
        <v>1950.2</v>
      </c>
      <c r="L94" s="107">
        <v>849.4</v>
      </c>
      <c r="M94" s="122">
        <v>97</v>
      </c>
      <c r="N94" s="123">
        <f t="shared" si="32"/>
        <v>856186.02</v>
      </c>
      <c r="O94" s="107"/>
      <c r="P94" s="108"/>
      <c r="Q94" s="108"/>
      <c r="R94" s="111"/>
      <c r="S94" s="108">
        <f>+'Приложение №2'!E94</f>
        <v>856186.02</v>
      </c>
      <c r="T94" s="107"/>
      <c r="U94" s="108">
        <f t="shared" si="29"/>
        <v>305.82441063009003</v>
      </c>
      <c r="V94" s="108">
        <f t="shared" si="29"/>
        <v>305.82441063009003</v>
      </c>
      <c r="W94" s="135">
        <v>2022</v>
      </c>
      <c r="X94" s="28" t="e">
        <f>+#REF!-'[1]Приложение №1'!$P670</f>
        <v>#REF!</v>
      </c>
      <c r="Z94" s="30">
        <f t="shared" si="30"/>
        <v>12055712.754182</v>
      </c>
      <c r="AA94" s="26">
        <v>0</v>
      </c>
      <c r="AB94" s="26">
        <v>0</v>
      </c>
      <c r="AC94" s="26">
        <v>0</v>
      </c>
      <c r="AD94" s="26">
        <v>0</v>
      </c>
      <c r="AE94" s="26">
        <v>855198.98</v>
      </c>
      <c r="AF94" s="26"/>
      <c r="AG94" s="26">
        <v>0</v>
      </c>
      <c r="AH94" s="26">
        <v>0</v>
      </c>
      <c r="AI94" s="26">
        <v>0</v>
      </c>
      <c r="AJ94" s="26">
        <v>0</v>
      </c>
      <c r="AK94" s="26">
        <v>4622378.1154139396</v>
      </c>
      <c r="AL94" s="26">
        <v>4985775.8594565606</v>
      </c>
      <c r="AM94" s="26">
        <v>1265941.3650000002</v>
      </c>
      <c r="AN94" s="31">
        <v>113650.91250000001</v>
      </c>
      <c r="AO94" s="32">
        <v>212767.52181150002</v>
      </c>
      <c r="AP94" s="77">
        <f>+N94-'Приложение №2'!E94</f>
        <v>0</v>
      </c>
      <c r="AQ94" s="1">
        <v>1792695.27</v>
      </c>
      <c r="AR94" s="1">
        <f t="shared" si="31"/>
        <v>372198</v>
      </c>
      <c r="AS94" s="1">
        <f>+(K94*10+L94*20)*12*30</f>
        <v>13136400</v>
      </c>
      <c r="AT94" s="28">
        <f t="shared" si="27"/>
        <v>-12280213.98</v>
      </c>
    </row>
    <row r="95" spans="1:46" x14ac:dyDescent="0.25">
      <c r="A95" s="72">
        <f t="shared" si="28"/>
        <v>78</v>
      </c>
      <c r="B95" s="73">
        <f t="shared" si="28"/>
        <v>78</v>
      </c>
      <c r="C95" s="73" t="s">
        <v>51</v>
      </c>
      <c r="D95" s="120" t="s">
        <v>417</v>
      </c>
      <c r="E95" s="121">
        <v>1976</v>
      </c>
      <c r="F95" s="121">
        <v>2013</v>
      </c>
      <c r="G95" s="121" t="s">
        <v>83</v>
      </c>
      <c r="H95" s="121">
        <v>4</v>
      </c>
      <c r="I95" s="121">
        <v>6</v>
      </c>
      <c r="J95" s="107">
        <v>5727.3</v>
      </c>
      <c r="K95" s="107">
        <v>4928.1000000000004</v>
      </c>
      <c r="L95" s="107">
        <v>70.7</v>
      </c>
      <c r="M95" s="122">
        <v>234</v>
      </c>
      <c r="N95" s="123">
        <f t="shared" si="32"/>
        <v>2296257.4311860004</v>
      </c>
      <c r="O95" s="107"/>
      <c r="P95" s="108">
        <v>1556194.47</v>
      </c>
      <c r="Q95" s="108"/>
      <c r="R95" s="108">
        <f>+'Приложение №2'!E95-'Приложение №1'!P95-'Приложение №1'!S95</f>
        <v>274059.37118600035</v>
      </c>
      <c r="S95" s="108">
        <v>466003.59</v>
      </c>
      <c r="T95" s="107">
        <f>+'Приложение №2'!E95-'Приложение №1'!P95-'Приложение №1'!Q95-'Приложение №1'!R95-'Приложение №1'!S95</f>
        <v>0</v>
      </c>
      <c r="U95" s="108">
        <f t="shared" si="29"/>
        <v>459.36173305313281</v>
      </c>
      <c r="V95" s="108">
        <f t="shared" si="29"/>
        <v>459.36173305313281</v>
      </c>
      <c r="W95" s="135">
        <v>2022</v>
      </c>
      <c r="X95" s="28">
        <f>+S95-'[1]Приложение №1'!$P671</f>
        <v>-7704500.1799999997</v>
      </c>
      <c r="Z95" s="30">
        <f t="shared" si="30"/>
        <v>8101376.7311859997</v>
      </c>
      <c r="AA95" s="26">
        <v>0</v>
      </c>
      <c r="AB95" s="26">
        <v>0</v>
      </c>
      <c r="AC95" s="26">
        <v>5108867.6053762194</v>
      </c>
      <c r="AD95" s="26">
        <v>0</v>
      </c>
      <c r="AE95" s="26">
        <v>2022198.06</v>
      </c>
      <c r="AF95" s="26"/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6">
        <v>0</v>
      </c>
      <c r="AM95" s="26">
        <v>786081.95299999998</v>
      </c>
      <c r="AN95" s="31">
        <v>60658.294300000001</v>
      </c>
      <c r="AO95" s="32">
        <v>123570.81850978</v>
      </c>
      <c r="AP95" s="77">
        <f>+N95-'Приложение №2'!E95</f>
        <v>0</v>
      </c>
      <c r="AQ95" s="1">
        <f>2269068.63-1153662.35-337091.58</f>
        <v>778314.69999999972</v>
      </c>
      <c r="AR95" s="1">
        <f t="shared" si="31"/>
        <v>517089</v>
      </c>
      <c r="AS95" s="1">
        <f>+(K95*10+L95*20)*12*30-1213002.672-2895880.10928442</f>
        <v>14141317.218715582</v>
      </c>
      <c r="AT95" s="28">
        <f t="shared" si="27"/>
        <v>-13675313.628715582</v>
      </c>
    </row>
    <row r="96" spans="1:46" x14ac:dyDescent="0.25">
      <c r="A96" s="72">
        <f t="shared" si="28"/>
        <v>79</v>
      </c>
      <c r="B96" s="73">
        <f t="shared" si="28"/>
        <v>79</v>
      </c>
      <c r="C96" s="73" t="s">
        <v>51</v>
      </c>
      <c r="D96" s="120" t="s">
        <v>418</v>
      </c>
      <c r="E96" s="121">
        <v>1979</v>
      </c>
      <c r="F96" s="121">
        <v>2013</v>
      </c>
      <c r="G96" s="121" t="s">
        <v>83</v>
      </c>
      <c r="H96" s="121">
        <v>4</v>
      </c>
      <c r="I96" s="121">
        <v>6</v>
      </c>
      <c r="J96" s="107">
        <v>5599.1</v>
      </c>
      <c r="K96" s="107">
        <v>5005.8999999999996</v>
      </c>
      <c r="L96" s="107">
        <v>0</v>
      </c>
      <c r="M96" s="122">
        <v>207</v>
      </c>
      <c r="N96" s="123">
        <f t="shared" si="32"/>
        <v>16801922.47724456</v>
      </c>
      <c r="O96" s="107"/>
      <c r="P96" s="108"/>
      <c r="Q96" s="108"/>
      <c r="R96" s="108">
        <f>+AQ96+AR96-114059</f>
        <v>2768356.94</v>
      </c>
      <c r="S96" s="108">
        <f>+'Приложение №2'!E96-'Приложение №1'!R96</f>
        <v>14033565.53724456</v>
      </c>
      <c r="T96" s="107">
        <f>+'Приложение №2'!E96-'Приложение №1'!P96-'Приложение №1'!Q96-'Приложение №1'!R96-'Приложение №1'!S96</f>
        <v>0</v>
      </c>
      <c r="U96" s="108">
        <f t="shared" si="29"/>
        <v>3356.423915228942</v>
      </c>
      <c r="V96" s="108">
        <f t="shared" si="29"/>
        <v>3356.423915228942</v>
      </c>
      <c r="W96" s="135">
        <v>2022</v>
      </c>
      <c r="X96" s="28" t="e">
        <f>+#REF!-'[1]Приложение №1'!$P1069</f>
        <v>#REF!</v>
      </c>
      <c r="Z96" s="30">
        <f t="shared" si="30"/>
        <v>28192630.469999995</v>
      </c>
      <c r="AA96" s="26">
        <v>8364919.510725962</v>
      </c>
      <c r="AB96" s="26">
        <v>4837661.63124552</v>
      </c>
      <c r="AC96" s="26">
        <v>5113766.538725879</v>
      </c>
      <c r="AD96" s="26">
        <v>3899290.4561225995</v>
      </c>
      <c r="AE96" s="26">
        <v>1557686.7201785401</v>
      </c>
      <c r="AF96" s="26"/>
      <c r="AG96" s="26">
        <v>415650.64718099998</v>
      </c>
      <c r="AH96" s="26">
        <v>0</v>
      </c>
      <c r="AI96" s="26">
        <v>0</v>
      </c>
      <c r="AJ96" s="26">
        <v>0</v>
      </c>
      <c r="AK96" s="26">
        <v>0</v>
      </c>
      <c r="AL96" s="26">
        <v>0</v>
      </c>
      <c r="AM96" s="26">
        <v>3192764.7577999998</v>
      </c>
      <c r="AN96" s="31">
        <v>281926.30469999998</v>
      </c>
      <c r="AO96" s="32">
        <v>528963.90332049993</v>
      </c>
      <c r="AP96" s="77">
        <f>+N96-'Приложение №2'!E96</f>
        <v>0</v>
      </c>
      <c r="AQ96" s="1">
        <v>2371814.14</v>
      </c>
      <c r="AR96" s="1">
        <f t="shared" si="31"/>
        <v>510601.8</v>
      </c>
      <c r="AS96" s="1">
        <f>+(K96*10+L96*20)*12*30-3198417.38</f>
        <v>14822822.620000001</v>
      </c>
      <c r="AT96" s="28">
        <f t="shared" si="27"/>
        <v>-789257.08275544085</v>
      </c>
    </row>
    <row r="97" spans="1:51" x14ac:dyDescent="0.25">
      <c r="A97" s="72">
        <f t="shared" si="28"/>
        <v>80</v>
      </c>
      <c r="B97" s="73">
        <f t="shared" si="28"/>
        <v>80</v>
      </c>
      <c r="C97" s="73" t="s">
        <v>51</v>
      </c>
      <c r="D97" s="120" t="s">
        <v>419</v>
      </c>
      <c r="E97" s="121">
        <v>1976</v>
      </c>
      <c r="F97" s="121">
        <v>2013</v>
      </c>
      <c r="G97" s="121" t="s">
        <v>83</v>
      </c>
      <c r="H97" s="121">
        <v>4</v>
      </c>
      <c r="I97" s="121">
        <v>6</v>
      </c>
      <c r="J97" s="107">
        <v>5761.37</v>
      </c>
      <c r="K97" s="107">
        <v>4953.17</v>
      </c>
      <c r="L97" s="107">
        <v>0</v>
      </c>
      <c r="M97" s="122">
        <v>208</v>
      </c>
      <c r="N97" s="133">
        <f t="shared" si="32"/>
        <v>6920739.4009156823</v>
      </c>
      <c r="O97" s="107"/>
      <c r="P97" s="108"/>
      <c r="Q97" s="108"/>
      <c r="R97" s="108">
        <f>+AQ97+AR97</f>
        <v>3001913.7399999998</v>
      </c>
      <c r="S97" s="108">
        <f>+'Приложение №2'!E97-'Приложение №1'!R97</f>
        <v>3918825.6609156816</v>
      </c>
      <c r="T97" s="108">
        <v>9.3132257461547852E-10</v>
      </c>
      <c r="U97" s="107">
        <f t="shared" si="29"/>
        <v>1397.2343773615044</v>
      </c>
      <c r="V97" s="107">
        <f t="shared" si="29"/>
        <v>1397.2343773615044</v>
      </c>
      <c r="W97" s="135">
        <v>2022</v>
      </c>
      <c r="X97" s="28" t="e">
        <f>+#REF!-'[1]Приложение №1'!$P874</f>
        <v>#REF!</v>
      </c>
      <c r="Z97" s="30">
        <f t="shared" si="30"/>
        <v>18855188.25</v>
      </c>
      <c r="AA97" s="26">
        <v>0</v>
      </c>
      <c r="AB97" s="26">
        <v>4852018.6895581791</v>
      </c>
      <c r="AC97" s="26">
        <v>5128943.0079808198</v>
      </c>
      <c r="AD97" s="26">
        <v>3910862.6451854394</v>
      </c>
      <c r="AE97" s="26">
        <v>1562309.5679603999</v>
      </c>
      <c r="AF97" s="26"/>
      <c r="AG97" s="26">
        <v>416884.20653627999</v>
      </c>
      <c r="AH97" s="26">
        <v>0</v>
      </c>
      <c r="AI97" s="26">
        <v>0</v>
      </c>
      <c r="AJ97" s="26">
        <v>0</v>
      </c>
      <c r="AK97" s="26">
        <v>0</v>
      </c>
      <c r="AL97" s="26">
        <v>0</v>
      </c>
      <c r="AM97" s="26">
        <v>2448551.2283000001</v>
      </c>
      <c r="AN97" s="31">
        <v>188551.88250000004</v>
      </c>
      <c r="AO97" s="32">
        <v>347067.0219788801</v>
      </c>
      <c r="AP97" s="77">
        <f>+N97-'Приложение №2'!E97</f>
        <v>0</v>
      </c>
      <c r="AQ97" s="1">
        <f>2496690.4</f>
        <v>2496690.4</v>
      </c>
      <c r="AR97" s="1">
        <f t="shared" si="31"/>
        <v>505223.33999999991</v>
      </c>
      <c r="AS97" s="1">
        <f>+(K97*10+L97*20)*12*30</f>
        <v>17831411.999999996</v>
      </c>
      <c r="AT97" s="28">
        <f t="shared" si="27"/>
        <v>-13912586.339084314</v>
      </c>
    </row>
    <row r="98" spans="1:51" x14ac:dyDescent="0.25">
      <c r="A98" s="72">
        <f t="shared" si="28"/>
        <v>81</v>
      </c>
      <c r="B98" s="73">
        <f t="shared" si="28"/>
        <v>81</v>
      </c>
      <c r="C98" s="73" t="s">
        <v>51</v>
      </c>
      <c r="D98" s="120" t="s">
        <v>420</v>
      </c>
      <c r="E98" s="121">
        <v>1964</v>
      </c>
      <c r="F98" s="121">
        <v>1978</v>
      </c>
      <c r="G98" s="121" t="s">
        <v>43</v>
      </c>
      <c r="H98" s="121">
        <v>4</v>
      </c>
      <c r="I98" s="121">
        <v>4</v>
      </c>
      <c r="J98" s="107">
        <v>2691.4</v>
      </c>
      <c r="K98" s="107">
        <v>2511.6</v>
      </c>
      <c r="L98" s="107">
        <v>55</v>
      </c>
      <c r="M98" s="122">
        <v>136</v>
      </c>
      <c r="N98" s="123">
        <f t="shared" si="32"/>
        <v>10029177.534309041</v>
      </c>
      <c r="O98" s="107"/>
      <c r="P98" s="108">
        <v>1737458.06</v>
      </c>
      <c r="Q98" s="108"/>
      <c r="R98" s="108">
        <v>1030975.08</v>
      </c>
      <c r="S98" s="108">
        <f>+'Приложение №2'!E98-'Приложение №1'!P98-'Приложение №1'!R98-'Приложение №1'!T98</f>
        <v>7050041.3243090399</v>
      </c>
      <c r="T98" s="107">
        <v>210703.0700000003</v>
      </c>
      <c r="U98" s="108">
        <f t="shared" si="29"/>
        <v>3907.5732620233152</v>
      </c>
      <c r="V98" s="108">
        <f t="shared" si="29"/>
        <v>3907.5732620233152</v>
      </c>
      <c r="W98" s="135">
        <v>2022</v>
      </c>
      <c r="X98" s="28" t="e">
        <f>+#REF!-'[1]Приложение №1'!$P1460</f>
        <v>#REF!</v>
      </c>
      <c r="Z98" s="30">
        <f t="shared" si="30"/>
        <v>27187931.989999998</v>
      </c>
      <c r="AA98" s="26">
        <v>5957834.6788287591</v>
      </c>
      <c r="AB98" s="26">
        <v>2123021.4274273203</v>
      </c>
      <c r="AC98" s="26">
        <v>2218085.0113825197</v>
      </c>
      <c r="AD98" s="26">
        <v>1388661.4588106403</v>
      </c>
      <c r="AE98" s="26">
        <v>849633.77513700002</v>
      </c>
      <c r="AF98" s="26"/>
      <c r="AG98" s="26">
        <v>228618.42683567997</v>
      </c>
      <c r="AH98" s="26">
        <v>0</v>
      </c>
      <c r="AI98" s="26">
        <v>10891828.3075938</v>
      </c>
      <c r="AJ98" s="26">
        <v>0</v>
      </c>
      <c r="AK98" s="26">
        <v>0</v>
      </c>
      <c r="AL98" s="26">
        <v>0</v>
      </c>
      <c r="AM98" s="26">
        <v>2741023.9698999999</v>
      </c>
      <c r="AN98" s="31">
        <v>271879.3199</v>
      </c>
      <c r="AO98" s="32">
        <v>517345.61418428004</v>
      </c>
      <c r="AP98" s="77">
        <f>+N98-'Приложение №2'!E98</f>
        <v>0</v>
      </c>
      <c r="AQ98" s="1">
        <v>1127947.9099999999</v>
      </c>
      <c r="AR98" s="1">
        <f t="shared" si="31"/>
        <v>267403.2</v>
      </c>
      <c r="AS98" s="1">
        <f>+(K98*10+L98*20)*12*30-1866218.37</f>
        <v>7571541.6299999999</v>
      </c>
      <c r="AT98" s="28">
        <f t="shared" si="27"/>
        <v>-521500.30569096003</v>
      </c>
    </row>
    <row r="99" spans="1:51" x14ac:dyDescent="0.25">
      <c r="A99" s="72">
        <f t="shared" ref="A99:B114" si="33">+A98+1</f>
        <v>82</v>
      </c>
      <c r="B99" s="73">
        <f t="shared" si="33"/>
        <v>82</v>
      </c>
      <c r="C99" s="73" t="s">
        <v>51</v>
      </c>
      <c r="D99" s="120" t="s">
        <v>421</v>
      </c>
      <c r="E99" s="121">
        <v>1964</v>
      </c>
      <c r="F99" s="121">
        <v>2013</v>
      </c>
      <c r="G99" s="121" t="s">
        <v>43</v>
      </c>
      <c r="H99" s="121">
        <v>4</v>
      </c>
      <c r="I99" s="121">
        <v>2</v>
      </c>
      <c r="J99" s="107">
        <v>1305.4000000000001</v>
      </c>
      <c r="K99" s="107">
        <v>1212.2</v>
      </c>
      <c r="L99" s="107">
        <v>0</v>
      </c>
      <c r="M99" s="122">
        <v>58</v>
      </c>
      <c r="N99" s="123">
        <f t="shared" si="32"/>
        <v>5379408.0875821002</v>
      </c>
      <c r="O99" s="107"/>
      <c r="P99" s="108">
        <v>474969.93999999994</v>
      </c>
      <c r="Q99" s="108"/>
      <c r="R99" s="108">
        <f>+AQ99+AR99-114795.25</f>
        <v>552763.5</v>
      </c>
      <c r="S99" s="108">
        <f>+'Приложение №2'!E99-'Приложение №1'!P99-'Приложение №1'!Q99-'Приложение №1'!R99</f>
        <v>4351674.6475821007</v>
      </c>
      <c r="T99" s="107">
        <f>+'Приложение №2'!E99-'Приложение №1'!P99-'Приложение №1'!Q99-'Приложение №1'!R99-'Приложение №1'!S99</f>
        <v>0</v>
      </c>
      <c r="U99" s="108">
        <f t="shared" si="29"/>
        <v>4437.7232202459163</v>
      </c>
      <c r="V99" s="108">
        <f t="shared" si="29"/>
        <v>4437.7232202459163</v>
      </c>
      <c r="W99" s="135">
        <v>2022</v>
      </c>
      <c r="X99" s="28" t="e">
        <f>+#REF!-'[1]Приложение №1'!$P1461</f>
        <v>#REF!</v>
      </c>
      <c r="Z99" s="30">
        <f t="shared" si="30"/>
        <v>12125695.48759958</v>
      </c>
      <c r="AA99" s="26">
        <v>2893205.1202508998</v>
      </c>
      <c r="AB99" s="26">
        <v>1030967.92465086</v>
      </c>
      <c r="AC99" s="26"/>
      <c r="AD99" s="26">
        <v>674352.78890196001</v>
      </c>
      <c r="AE99" s="26">
        <v>412593.65314902004</v>
      </c>
      <c r="AF99" s="26"/>
      <c r="AG99" s="26">
        <v>111020.19812099998</v>
      </c>
      <c r="AH99" s="26">
        <v>0</v>
      </c>
      <c r="AI99" s="26">
        <v>5289219.1770767998</v>
      </c>
      <c r="AJ99" s="26">
        <v>0</v>
      </c>
      <c r="AK99" s="26">
        <v>0</v>
      </c>
      <c r="AL99" s="26">
        <v>0</v>
      </c>
      <c r="AM99" s="26">
        <v>1331078.3206</v>
      </c>
      <c r="AN99" s="31">
        <v>132028.27580000003</v>
      </c>
      <c r="AO99" s="32">
        <v>251230.02904904005</v>
      </c>
      <c r="AP99" s="77">
        <f>+N99-'Приложение №2'!E99</f>
        <v>0</v>
      </c>
      <c r="AQ99" s="1">
        <f>572097.59-28183.24</f>
        <v>543914.35</v>
      </c>
      <c r="AR99" s="1">
        <f t="shared" si="31"/>
        <v>123644.4</v>
      </c>
      <c r="AS99" s="1">
        <f>+(K99*10+L99*20)*12*30-225791.95</f>
        <v>4138128.05</v>
      </c>
      <c r="AT99" s="28">
        <f t="shared" si="27"/>
        <v>213546.59758210089</v>
      </c>
    </row>
    <row r="100" spans="1:51" x14ac:dyDescent="0.25">
      <c r="A100" s="72">
        <f t="shared" si="33"/>
        <v>83</v>
      </c>
      <c r="B100" s="73">
        <f t="shared" si="33"/>
        <v>83</v>
      </c>
      <c r="C100" s="73" t="s">
        <v>51</v>
      </c>
      <c r="D100" s="120" t="s">
        <v>422</v>
      </c>
      <c r="E100" s="121">
        <v>1964</v>
      </c>
      <c r="F100" s="121">
        <v>2013</v>
      </c>
      <c r="G100" s="121" t="s">
        <v>43</v>
      </c>
      <c r="H100" s="121">
        <v>4</v>
      </c>
      <c r="I100" s="121">
        <v>2</v>
      </c>
      <c r="J100" s="107">
        <v>1348</v>
      </c>
      <c r="K100" s="107">
        <v>1248.9000000000001</v>
      </c>
      <c r="L100" s="107">
        <v>0</v>
      </c>
      <c r="M100" s="122">
        <v>74</v>
      </c>
      <c r="N100" s="123">
        <f t="shared" si="32"/>
        <v>3305142.0224692803</v>
      </c>
      <c r="O100" s="107"/>
      <c r="P100" s="108"/>
      <c r="Q100" s="108"/>
      <c r="R100" s="108">
        <v>228782.46</v>
      </c>
      <c r="S100" s="108">
        <f>+'Приложение №2'!E100-'Приложение №1'!R100</f>
        <v>3076359.5624692803</v>
      </c>
      <c r="T100" s="107">
        <f>+'Приложение №2'!E100-'Приложение №1'!P100-'Приложение №1'!Q100-'Приложение №1'!R100-'Приложение №1'!S100</f>
        <v>0</v>
      </c>
      <c r="U100" s="108">
        <f t="shared" si="29"/>
        <v>2646.4424873643047</v>
      </c>
      <c r="V100" s="108">
        <f t="shared" si="29"/>
        <v>2646.4424873643047</v>
      </c>
      <c r="W100" s="135">
        <v>2022</v>
      </c>
      <c r="X100" s="28" t="e">
        <f>+#REF!-'[1]Приложение №1'!$P1462</f>
        <v>#REF!</v>
      </c>
      <c r="Z100" s="30">
        <f t="shared" si="30"/>
        <v>13604861.210000001</v>
      </c>
      <c r="AA100" s="26">
        <v>2981304.8663361603</v>
      </c>
      <c r="AB100" s="26">
        <v>1062361.4877094799</v>
      </c>
      <c r="AC100" s="26">
        <v>1109931.3752150398</v>
      </c>
      <c r="AD100" s="26">
        <v>694887.21792840003</v>
      </c>
      <c r="AE100" s="26">
        <v>425157.36756066006</v>
      </c>
      <c r="AF100" s="26"/>
      <c r="AG100" s="26">
        <v>114400.82936267999</v>
      </c>
      <c r="AH100" s="26">
        <v>0</v>
      </c>
      <c r="AI100" s="26">
        <v>5450278.9118777998</v>
      </c>
      <c r="AJ100" s="26">
        <v>0</v>
      </c>
      <c r="AK100" s="26">
        <v>0</v>
      </c>
      <c r="AL100" s="26">
        <v>0</v>
      </c>
      <c r="AM100" s="26">
        <v>1371610.4151999999</v>
      </c>
      <c r="AN100" s="31">
        <v>136048.6121</v>
      </c>
      <c r="AO100" s="32">
        <v>258880.12670978002</v>
      </c>
      <c r="AP100" s="77">
        <f>+N100-'Приложение №2'!E100</f>
        <v>0</v>
      </c>
      <c r="AQ100" s="1">
        <v>546149.31000000006</v>
      </c>
      <c r="AR100" s="1">
        <f t="shared" si="31"/>
        <v>127387.8</v>
      </c>
      <c r="AS100" s="1">
        <f>+(K100*10+L100*20)*12*30</f>
        <v>4496040</v>
      </c>
      <c r="AT100" s="28">
        <f t="shared" si="27"/>
        <v>-1419680.4375307197</v>
      </c>
    </row>
    <row r="101" spans="1:51" x14ac:dyDescent="0.25">
      <c r="A101" s="72">
        <f t="shared" si="33"/>
        <v>84</v>
      </c>
      <c r="B101" s="73">
        <f t="shared" si="33"/>
        <v>84</v>
      </c>
      <c r="C101" s="73" t="s">
        <v>51</v>
      </c>
      <c r="D101" s="120" t="s">
        <v>423</v>
      </c>
      <c r="E101" s="121">
        <v>1979</v>
      </c>
      <c r="F101" s="121">
        <v>2013</v>
      </c>
      <c r="G101" s="121" t="s">
        <v>83</v>
      </c>
      <c r="H101" s="121">
        <v>4</v>
      </c>
      <c r="I101" s="121">
        <v>4</v>
      </c>
      <c r="J101" s="107">
        <v>3976.8</v>
      </c>
      <c r="K101" s="107">
        <v>3445</v>
      </c>
      <c r="L101" s="107">
        <v>0</v>
      </c>
      <c r="M101" s="122">
        <v>147</v>
      </c>
      <c r="N101" s="123">
        <f t="shared" si="32"/>
        <v>11237171.892672002</v>
      </c>
      <c r="O101" s="107"/>
      <c r="P101" s="108"/>
      <c r="Q101" s="108"/>
      <c r="R101" s="108">
        <f>+AQ101+AR101-102291.02</f>
        <v>1880810.18</v>
      </c>
      <c r="S101" s="108">
        <f>+'Приложение №2'!E101-'Приложение №1'!R101</f>
        <v>9356361.7126720026</v>
      </c>
      <c r="T101" s="107">
        <f>+'Приложение №2'!E101-'Приложение №1'!P101-'Приложение №1'!Q101-'Приложение №1'!R101-'Приложение №1'!S101</f>
        <v>0</v>
      </c>
      <c r="U101" s="108">
        <f t="shared" si="29"/>
        <v>3261.8786335767786</v>
      </c>
      <c r="V101" s="108">
        <f t="shared" si="29"/>
        <v>3261.8786335767786</v>
      </c>
      <c r="W101" s="135">
        <v>2022</v>
      </c>
      <c r="X101" s="28" t="e">
        <f>+#REF!-'[1]Приложение №1'!$P1079</f>
        <v>#REF!</v>
      </c>
      <c r="Z101" s="30">
        <f t="shared" si="30"/>
        <v>19622588.440000001</v>
      </c>
      <c r="AA101" s="26">
        <v>5822137.5647799</v>
      </c>
      <c r="AB101" s="26">
        <v>3367101.3183015599</v>
      </c>
      <c r="AC101" s="26">
        <v>3559275.4023027602</v>
      </c>
      <c r="AD101" s="26">
        <v>2713977.7540528802</v>
      </c>
      <c r="AE101" s="26">
        <v>1084178.5535662202</v>
      </c>
      <c r="AF101" s="26"/>
      <c r="AG101" s="26">
        <v>289300.48238279991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2222222.8914000001</v>
      </c>
      <c r="AN101" s="31">
        <v>196225.88440000007</v>
      </c>
      <c r="AO101" s="32">
        <v>368168.58881388011</v>
      </c>
      <c r="AP101" s="77">
        <f>+N101-'Приложение №2'!E101</f>
        <v>0</v>
      </c>
      <c r="AQ101" s="1">
        <v>1631711.2</v>
      </c>
      <c r="AR101" s="1">
        <f t="shared" si="31"/>
        <v>351390</v>
      </c>
      <c r="AS101" s="1">
        <f>+(K101*10+L101*20)*12*30</f>
        <v>12402000</v>
      </c>
      <c r="AT101" s="28">
        <f t="shared" si="27"/>
        <v>-3045638.2873279974</v>
      </c>
    </row>
    <row r="102" spans="1:51" x14ac:dyDescent="0.25">
      <c r="A102" s="72">
        <f t="shared" si="33"/>
        <v>85</v>
      </c>
      <c r="B102" s="73">
        <f t="shared" si="33"/>
        <v>85</v>
      </c>
      <c r="C102" s="73" t="s">
        <v>51</v>
      </c>
      <c r="D102" s="120" t="s">
        <v>424</v>
      </c>
      <c r="E102" s="121">
        <v>1979</v>
      </c>
      <c r="F102" s="121">
        <v>2013</v>
      </c>
      <c r="G102" s="121" t="s">
        <v>83</v>
      </c>
      <c r="H102" s="121">
        <v>4</v>
      </c>
      <c r="I102" s="121">
        <v>4</v>
      </c>
      <c r="J102" s="107">
        <v>3917.8</v>
      </c>
      <c r="K102" s="107">
        <v>3440.2</v>
      </c>
      <c r="L102" s="107">
        <v>0</v>
      </c>
      <c r="M102" s="122">
        <v>140</v>
      </c>
      <c r="N102" s="123">
        <f t="shared" si="32"/>
        <v>11195845.836039999</v>
      </c>
      <c r="O102" s="107"/>
      <c r="P102" s="108"/>
      <c r="Q102" s="108"/>
      <c r="R102" s="108">
        <f>+AQ102+AR102-102179.5</f>
        <v>1936128.0399999998</v>
      </c>
      <c r="S102" s="108">
        <f>+'Приложение №2'!E102-'Приложение №1'!R102</f>
        <v>9259717.7960400004</v>
      </c>
      <c r="T102" s="107">
        <f>+'Приложение №2'!E102-'Приложение №1'!P102-'Приложение №1'!Q102-'Приложение №1'!R102-'Приложение №1'!S102</f>
        <v>0</v>
      </c>
      <c r="U102" s="108">
        <f t="shared" si="29"/>
        <v>3254.4171373873614</v>
      </c>
      <c r="V102" s="108">
        <f t="shared" si="29"/>
        <v>3254.4171373873614</v>
      </c>
      <c r="W102" s="135">
        <v>2022</v>
      </c>
      <c r="X102" s="28" t="e">
        <f>+#REF!-'[1]Приложение №1'!$P1080</f>
        <v>#REF!</v>
      </c>
      <c r="Z102" s="30">
        <f t="shared" si="30"/>
        <v>19409336.159999996</v>
      </c>
      <c r="AA102" s="26">
        <v>5758864.3566909004</v>
      </c>
      <c r="AB102" s="26">
        <v>3330508.6911448804</v>
      </c>
      <c r="AC102" s="26">
        <v>3520594.2884208602</v>
      </c>
      <c r="AD102" s="26">
        <v>2684483.0712293996</v>
      </c>
      <c r="AE102" s="26">
        <v>1072396.0376261999</v>
      </c>
      <c r="AF102" s="26"/>
      <c r="AG102" s="26">
        <v>286156.45293899998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2198072.4550000001</v>
      </c>
      <c r="AN102" s="31">
        <v>194093.3616</v>
      </c>
      <c r="AO102" s="32">
        <v>364167.44534875994</v>
      </c>
      <c r="AP102" s="77">
        <f>+N102-'Приложение №2'!E102</f>
        <v>0</v>
      </c>
      <c r="AQ102" s="1">
        <v>1687407.14</v>
      </c>
      <c r="AR102" s="1">
        <f t="shared" si="31"/>
        <v>350900.39999999997</v>
      </c>
      <c r="AS102" s="1">
        <f>+(K102*10+L102*20)*12*30</f>
        <v>12384720</v>
      </c>
      <c r="AT102" s="28">
        <f t="shared" si="27"/>
        <v>-3125002.2039599996</v>
      </c>
    </row>
    <row r="103" spans="1:51" x14ac:dyDescent="0.25">
      <c r="A103" s="72">
        <f t="shared" si="33"/>
        <v>86</v>
      </c>
      <c r="B103" s="73">
        <f t="shared" si="33"/>
        <v>86</v>
      </c>
      <c r="C103" s="73" t="s">
        <v>51</v>
      </c>
      <c r="D103" s="120" t="s">
        <v>425</v>
      </c>
      <c r="E103" s="121">
        <v>1979</v>
      </c>
      <c r="F103" s="121">
        <v>2013</v>
      </c>
      <c r="G103" s="121" t="s">
        <v>83</v>
      </c>
      <c r="H103" s="121">
        <v>4</v>
      </c>
      <c r="I103" s="121">
        <v>4</v>
      </c>
      <c r="J103" s="107">
        <v>3969.95</v>
      </c>
      <c r="K103" s="107">
        <v>3453.7</v>
      </c>
      <c r="L103" s="107">
        <v>0</v>
      </c>
      <c r="M103" s="122">
        <v>154</v>
      </c>
      <c r="N103" s="123">
        <f t="shared" si="32"/>
        <v>9426184.9459980018</v>
      </c>
      <c r="O103" s="107"/>
      <c r="P103" s="108"/>
      <c r="Q103" s="108"/>
      <c r="R103" s="108">
        <f>+AQ103+AR103-102179.5</f>
        <v>1705810.5499999998</v>
      </c>
      <c r="S103" s="108">
        <f>+'Приложение №2'!E103-'Приложение №1'!R103</f>
        <v>7720374.395998002</v>
      </c>
      <c r="T103" s="107">
        <f>+'Приложение №2'!E103-'Приложение №1'!P103-'Приложение №1'!Q103-'Приложение №1'!R103-'Приложение №1'!S103</f>
        <v>0</v>
      </c>
      <c r="U103" s="108">
        <f t="shared" si="29"/>
        <v>2729.3004447398448</v>
      </c>
      <c r="V103" s="108">
        <f t="shared" si="29"/>
        <v>2729.3004447398448</v>
      </c>
      <c r="W103" s="135">
        <v>2022</v>
      </c>
      <c r="X103" s="28" t="e">
        <f>+#REF!-'[1]Приложение №1'!$P1081</f>
        <v>#REF!</v>
      </c>
      <c r="Z103" s="30">
        <f t="shared" si="30"/>
        <v>19594173.580000002</v>
      </c>
      <c r="AA103" s="26">
        <v>5813706.7057906203</v>
      </c>
      <c r="AB103" s="26">
        <v>3362225.5261996798</v>
      </c>
      <c r="AC103" s="26">
        <v>3554121.3229787997</v>
      </c>
      <c r="AD103" s="26">
        <v>2710047.7279637996</v>
      </c>
      <c r="AE103" s="26">
        <v>1082608.5872498399</v>
      </c>
      <c r="AF103" s="26"/>
      <c r="AG103" s="26">
        <v>288881.55977184005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2219004.9588999995</v>
      </c>
      <c r="AN103" s="31">
        <v>195941.73580000002</v>
      </c>
      <c r="AO103" s="32">
        <v>367635.45534541999</v>
      </c>
      <c r="AP103" s="77">
        <f>+N103-'Приложение №2'!E103</f>
        <v>0</v>
      </c>
      <c r="AQ103" s="1">
        <v>1455712.65</v>
      </c>
      <c r="AR103" s="1">
        <f t="shared" si="31"/>
        <v>352277.39999999997</v>
      </c>
      <c r="AS103" s="1">
        <f>+(K103*10+L103*20)*12*30</f>
        <v>12433320</v>
      </c>
      <c r="AT103" s="28">
        <f t="shared" si="27"/>
        <v>-4712945.604001998</v>
      </c>
    </row>
    <row r="104" spans="1:51" x14ac:dyDescent="0.25">
      <c r="A104" s="72">
        <f t="shared" si="33"/>
        <v>87</v>
      </c>
      <c r="B104" s="73">
        <f t="shared" si="33"/>
        <v>87</v>
      </c>
      <c r="C104" s="73" t="s">
        <v>51</v>
      </c>
      <c r="D104" s="120" t="s">
        <v>426</v>
      </c>
      <c r="E104" s="121">
        <v>1961</v>
      </c>
      <c r="F104" s="121">
        <v>2013</v>
      </c>
      <c r="G104" s="121" t="s">
        <v>43</v>
      </c>
      <c r="H104" s="121">
        <v>4</v>
      </c>
      <c r="I104" s="121">
        <v>3</v>
      </c>
      <c r="J104" s="107">
        <v>3049.5</v>
      </c>
      <c r="K104" s="107">
        <v>2277.6</v>
      </c>
      <c r="L104" s="107">
        <v>771.9</v>
      </c>
      <c r="M104" s="122">
        <v>94</v>
      </c>
      <c r="N104" s="123">
        <f t="shared" si="32"/>
        <v>1102560.24537608</v>
      </c>
      <c r="O104" s="107"/>
      <c r="P104" s="108"/>
      <c r="Q104" s="108"/>
      <c r="R104" s="108">
        <v>105566.35</v>
      </c>
      <c r="S104" s="108">
        <f>+'Приложение №2'!E104-'Приложение №1'!R104</f>
        <v>996993.89537608007</v>
      </c>
      <c r="T104" s="107">
        <f>+'Приложение №2'!E104-'Приложение №1'!P104-'Приложение №1'!Q104-'Приложение №1'!R104-'Приложение №1'!S104</f>
        <v>0</v>
      </c>
      <c r="U104" s="108">
        <f t="shared" si="29"/>
        <v>361.5544336370159</v>
      </c>
      <c r="V104" s="108">
        <f t="shared" si="29"/>
        <v>361.5544336370159</v>
      </c>
      <c r="W104" s="135">
        <v>2022</v>
      </c>
      <c r="X104" s="28" t="e">
        <f>+#REF!-'[1]Приложение №1'!$P1463</f>
        <v>#REF!</v>
      </c>
      <c r="Z104" s="30">
        <f t="shared" si="30"/>
        <v>13067933.899999999</v>
      </c>
      <c r="AA104" s="26">
        <v>5253036.7368624602</v>
      </c>
      <c r="AB104" s="26">
        <v>1871872.94908698</v>
      </c>
      <c r="AC104" s="26">
        <v>1955690.7227369398</v>
      </c>
      <c r="AD104" s="26">
        <v>1224386.0518469999</v>
      </c>
      <c r="AE104" s="26">
        <v>749124.08010090003</v>
      </c>
      <c r="AF104" s="26"/>
      <c r="AG104" s="26">
        <v>201573.40567307998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1435431.6034000001</v>
      </c>
      <c r="AN104" s="31">
        <v>130679.33899999999</v>
      </c>
      <c r="AO104" s="32">
        <v>246139.01129264</v>
      </c>
      <c r="AP104" s="77">
        <f>+N104-'Приложение №2'!E104</f>
        <v>0</v>
      </c>
      <c r="AQ104" s="1">
        <v>1647685.87</v>
      </c>
      <c r="AR104" s="1">
        <f t="shared" si="31"/>
        <v>389782.8</v>
      </c>
      <c r="AS104" s="1">
        <f>+(K104*10+L104*20)*12*30-1902349.22</f>
        <v>11854690.779999999</v>
      </c>
      <c r="AT104" s="28">
        <f t="shared" si="27"/>
        <v>-10857696.884623919</v>
      </c>
    </row>
    <row r="105" spans="1:51" x14ac:dyDescent="0.25">
      <c r="A105" s="72">
        <f t="shared" si="33"/>
        <v>88</v>
      </c>
      <c r="B105" s="73">
        <f t="shared" si="33"/>
        <v>88</v>
      </c>
      <c r="C105" s="73" t="s">
        <v>51</v>
      </c>
      <c r="D105" s="120" t="s">
        <v>173</v>
      </c>
      <c r="E105" s="121">
        <v>1963</v>
      </c>
      <c r="F105" s="121">
        <v>2005</v>
      </c>
      <c r="G105" s="121" t="s">
        <v>43</v>
      </c>
      <c r="H105" s="121">
        <v>4</v>
      </c>
      <c r="I105" s="121">
        <v>2</v>
      </c>
      <c r="J105" s="107">
        <v>1240.4000000000001</v>
      </c>
      <c r="K105" s="107">
        <v>1075.8</v>
      </c>
      <c r="L105" s="107">
        <v>111.9</v>
      </c>
      <c r="M105" s="122">
        <v>70</v>
      </c>
      <c r="N105" s="123">
        <f t="shared" si="32"/>
        <v>2251928.7114039203</v>
      </c>
      <c r="O105" s="107"/>
      <c r="P105" s="108"/>
      <c r="Q105" s="108"/>
      <c r="R105" s="108">
        <f>+AR105</f>
        <v>132559.19999999998</v>
      </c>
      <c r="S105" s="108">
        <f>+'Приложение №2'!E105-'Приложение №1'!P105-'Приложение №1'!Q105-'Приложение №1'!R105</f>
        <v>2119369.5114039201</v>
      </c>
      <c r="T105" s="107">
        <f>+'Приложение №2'!E105-'Приложение №1'!P105-'Приложение №1'!Q105-'Приложение №1'!R105-'Приложение №1'!S105</f>
        <v>0</v>
      </c>
      <c r="U105" s="108">
        <f t="shared" si="29"/>
        <v>1896.0416867928941</v>
      </c>
      <c r="V105" s="108">
        <f t="shared" si="29"/>
        <v>1896.0416867928941</v>
      </c>
      <c r="W105" s="135">
        <v>2022</v>
      </c>
      <c r="X105" s="28" t="e">
        <f>+#REF!-'[1]Приложение №1'!$P1464</f>
        <v>#REF!</v>
      </c>
      <c r="Z105" s="30">
        <f t="shared" si="30"/>
        <v>6371609.4744707597</v>
      </c>
      <c r="AA105" s="26">
        <v>2696472.9036772796</v>
      </c>
      <c r="AB105" s="26">
        <v>960864.14913719997</v>
      </c>
      <c r="AC105" s="26"/>
      <c r="AD105" s="26">
        <v>628498.13628335996</v>
      </c>
      <c r="AE105" s="26">
        <v>384538.10584644001</v>
      </c>
      <c r="AF105" s="26"/>
      <c r="AG105" s="26">
        <v>103471.04618424</v>
      </c>
      <c r="AH105" s="26">
        <v>0</v>
      </c>
      <c r="AI105" s="26"/>
      <c r="AJ105" s="26">
        <v>0</v>
      </c>
      <c r="AK105" s="26">
        <v>0</v>
      </c>
      <c r="AL105" s="26">
        <v>0</v>
      </c>
      <c r="AM105" s="26">
        <v>1240567.6336999999</v>
      </c>
      <c r="AN105" s="31">
        <v>123050.61470000001</v>
      </c>
      <c r="AO105" s="32">
        <v>234146.88494223999</v>
      </c>
      <c r="AP105" s="77">
        <f>+N105-'Приложение №2'!E105</f>
        <v>0</v>
      </c>
      <c r="AQ105" s="1">
        <v>669629.44999999995</v>
      </c>
      <c r="AR105" s="1">
        <f t="shared" si="31"/>
        <v>132559.19999999998</v>
      </c>
      <c r="AS105" s="1">
        <f>+(K105*10+L105*20)*12*30-1442997.24</f>
        <v>3235562.76</v>
      </c>
      <c r="AT105" s="28">
        <f t="shared" si="27"/>
        <v>-1116193.2485960796</v>
      </c>
    </row>
    <row r="106" spans="1:51" x14ac:dyDescent="0.25">
      <c r="A106" s="72">
        <f t="shared" si="33"/>
        <v>89</v>
      </c>
      <c r="B106" s="73">
        <f t="shared" si="33"/>
        <v>89</v>
      </c>
      <c r="C106" s="73" t="s">
        <v>51</v>
      </c>
      <c r="D106" s="120" t="s">
        <v>427</v>
      </c>
      <c r="E106" s="121">
        <v>1965</v>
      </c>
      <c r="F106" s="121">
        <v>2005</v>
      </c>
      <c r="G106" s="121" t="s">
        <v>43</v>
      </c>
      <c r="H106" s="121">
        <v>4</v>
      </c>
      <c r="I106" s="121">
        <v>4</v>
      </c>
      <c r="J106" s="107">
        <v>2661.8</v>
      </c>
      <c r="K106" s="107">
        <v>2220.4</v>
      </c>
      <c r="L106" s="107">
        <v>229.71</v>
      </c>
      <c r="M106" s="122">
        <v>111</v>
      </c>
      <c r="N106" s="133">
        <f>+P106+Q106+R106+S106+T106</f>
        <v>1618117.19564</v>
      </c>
      <c r="O106" s="107"/>
      <c r="P106" s="108"/>
      <c r="Q106" s="108"/>
      <c r="R106" s="108">
        <f>+'Приложение №2'!E106</f>
        <v>1618117.19564</v>
      </c>
      <c r="S106" s="108">
        <f>+'Приложение №2'!E106-'Приложение №1'!R106</f>
        <v>0</v>
      </c>
      <c r="T106" s="108">
        <f>+'Приложение №2'!E106-'Приложение №1'!P106-'Приложение №1'!Q106-'Приложение №1'!R106-'Приложение №1'!S106</f>
        <v>0</v>
      </c>
      <c r="U106" s="107">
        <f>$N106/($K106+$L106)</f>
        <v>660.42634642526252</v>
      </c>
      <c r="V106" s="107">
        <f>$N106/($K106+$L106)</f>
        <v>660.42634642526252</v>
      </c>
      <c r="W106" s="135">
        <v>2022</v>
      </c>
      <c r="X106" s="28" t="e">
        <f>+#REF!-'[1]Приложение №1'!$P1656</f>
        <v>#REF!</v>
      </c>
      <c r="Z106" s="30">
        <f>SUM(AA106:AO106)</f>
        <v>26489548.390000001</v>
      </c>
      <c r="AA106" s="26">
        <v>5804794.2058142396</v>
      </c>
      <c r="AB106" s="26">
        <v>2068486.8169081199</v>
      </c>
      <c r="AC106" s="26">
        <v>2161108.4722953597</v>
      </c>
      <c r="AD106" s="26">
        <v>1352990.5470060001</v>
      </c>
      <c r="AE106" s="26">
        <v>827809.00358814001</v>
      </c>
      <c r="AF106" s="26"/>
      <c r="AG106" s="26">
        <v>222745.84764851996</v>
      </c>
      <c r="AH106" s="26">
        <v>0</v>
      </c>
      <c r="AI106" s="26">
        <v>10612047.031450199</v>
      </c>
      <c r="AJ106" s="26">
        <v>0</v>
      </c>
      <c r="AK106" s="26">
        <v>0</v>
      </c>
      <c r="AL106" s="26">
        <v>0</v>
      </c>
      <c r="AM106" s="26">
        <v>2670614.5608000001</v>
      </c>
      <c r="AN106" s="31">
        <v>264895.48389999999</v>
      </c>
      <c r="AO106" s="32">
        <v>504056.42058942007</v>
      </c>
      <c r="AP106" s="77">
        <f>+N106-'Приложение №2'!E106</f>
        <v>0</v>
      </c>
      <c r="AQ106" s="1">
        <f>1243271.94-96320.77</f>
        <v>1146951.17</v>
      </c>
      <c r="AR106" s="1">
        <f>+(K106*10+L106*20)*12*0.85</f>
        <v>273341.64</v>
      </c>
      <c r="AS106" s="1">
        <f>+(K106*10+L106*20)*12*30</f>
        <v>9647352</v>
      </c>
      <c r="AT106" s="28">
        <f>+S106-AS106</f>
        <v>-9647352</v>
      </c>
      <c r="AU106" s="28">
        <f>+P106-'[6]Приложение №1'!$P299</f>
        <v>0</v>
      </c>
      <c r="AV106" s="28">
        <f>+Q106-'[6]Приложение №1'!$Q299</f>
        <v>0</v>
      </c>
      <c r="AW106" s="28">
        <f>+R106-'[6]Приложение №1'!$R299</f>
        <v>0</v>
      </c>
      <c r="AX106" s="28">
        <f>+S106-'[6]Приложение №1'!$S299</f>
        <v>0</v>
      </c>
      <c r="AY106" s="28">
        <f>+T106-'[6]Приложение №1'!$T299</f>
        <v>0</v>
      </c>
    </row>
    <row r="107" spans="1:51" x14ac:dyDescent="0.25">
      <c r="A107" s="72">
        <f t="shared" si="33"/>
        <v>90</v>
      </c>
      <c r="B107" s="73">
        <f t="shared" si="33"/>
        <v>90</v>
      </c>
      <c r="C107" s="73" t="s">
        <v>51</v>
      </c>
      <c r="D107" s="120" t="s">
        <v>236</v>
      </c>
      <c r="E107" s="121">
        <v>1977</v>
      </c>
      <c r="F107" s="121">
        <v>2013</v>
      </c>
      <c r="G107" s="121" t="s">
        <v>83</v>
      </c>
      <c r="H107" s="121">
        <v>4</v>
      </c>
      <c r="I107" s="121">
        <v>4</v>
      </c>
      <c r="J107" s="107">
        <v>3916.4</v>
      </c>
      <c r="K107" s="107">
        <v>3440.3</v>
      </c>
      <c r="L107" s="107">
        <v>0</v>
      </c>
      <c r="M107" s="122">
        <v>163</v>
      </c>
      <c r="N107" s="123">
        <f t="shared" si="32"/>
        <v>20909986.949686639</v>
      </c>
      <c r="O107" s="107"/>
      <c r="P107" s="108"/>
      <c r="Q107" s="108"/>
      <c r="R107" s="108">
        <v>1967138.52</v>
      </c>
      <c r="S107" s="108">
        <f>+'Приложение №2'!E107-'Приложение №1'!R107-'Приложение №1'!T107</f>
        <v>12246295.399686638</v>
      </c>
      <c r="T107" s="107">
        <v>6696553.0300000003</v>
      </c>
      <c r="U107" s="108">
        <f t="shared" si="29"/>
        <v>6077.9545242236545</v>
      </c>
      <c r="V107" s="108">
        <f t="shared" si="29"/>
        <v>6077.9545242236545</v>
      </c>
      <c r="W107" s="135">
        <v>2022</v>
      </c>
      <c r="X107" s="28" t="e">
        <f>+#REF!-'[1]Приложение №1'!$P1085</f>
        <v>#REF!</v>
      </c>
      <c r="Z107" s="30">
        <f t="shared" si="30"/>
        <v>62685332.069999993</v>
      </c>
      <c r="AA107" s="26">
        <v>5740166.195995139</v>
      </c>
      <c r="AB107" s="26">
        <v>3319695.0395049001</v>
      </c>
      <c r="AC107" s="26">
        <v>3509163.4526478597</v>
      </c>
      <c r="AD107" s="26">
        <v>2675766.9644319597</v>
      </c>
      <c r="AE107" s="26">
        <v>1068914.1259818</v>
      </c>
      <c r="AF107" s="26"/>
      <c r="AG107" s="26">
        <v>285227.34661260003</v>
      </c>
      <c r="AH107" s="26">
        <v>0</v>
      </c>
      <c r="AI107" s="26">
        <v>10218369.797231399</v>
      </c>
      <c r="AJ107" s="26">
        <v>0</v>
      </c>
      <c r="AK107" s="26">
        <v>19839022.919366278</v>
      </c>
      <c r="AL107" s="26">
        <v>7802433.2655801</v>
      </c>
      <c r="AM107" s="26">
        <v>6408816.8779000007</v>
      </c>
      <c r="AN107" s="31">
        <v>626853.32070000004</v>
      </c>
      <c r="AO107" s="32">
        <v>1190902.7640479603</v>
      </c>
      <c r="AP107" s="77">
        <f>+N107-'Приложение №2'!E107</f>
        <v>0</v>
      </c>
      <c r="AQ107" s="1">
        <v>1681538.39</v>
      </c>
      <c r="AR107" s="1">
        <f t="shared" si="31"/>
        <v>350910.6</v>
      </c>
      <c r="AS107" s="1">
        <f>+(K107*10+L107*20)*12*30</f>
        <v>12385080</v>
      </c>
      <c r="AT107" s="28">
        <f t="shared" si="27"/>
        <v>-138784.60031336173</v>
      </c>
    </row>
    <row r="108" spans="1:51" x14ac:dyDescent="0.25">
      <c r="A108" s="72">
        <f t="shared" si="33"/>
        <v>91</v>
      </c>
      <c r="B108" s="73">
        <f t="shared" si="33"/>
        <v>91</v>
      </c>
      <c r="C108" s="73" t="s">
        <v>51</v>
      </c>
      <c r="D108" s="120" t="s">
        <v>428</v>
      </c>
      <c r="E108" s="121">
        <v>1992</v>
      </c>
      <c r="F108" s="121">
        <v>2013</v>
      </c>
      <c r="G108" s="121" t="s">
        <v>83</v>
      </c>
      <c r="H108" s="121">
        <v>5</v>
      </c>
      <c r="I108" s="121">
        <v>4</v>
      </c>
      <c r="J108" s="107">
        <v>5274.7</v>
      </c>
      <c r="K108" s="107">
        <v>4397.95</v>
      </c>
      <c r="L108" s="107">
        <v>82.7</v>
      </c>
      <c r="M108" s="122">
        <v>351</v>
      </c>
      <c r="N108" s="123">
        <f t="shared" si="32"/>
        <v>27716228.542847086</v>
      </c>
      <c r="O108" s="107"/>
      <c r="P108" s="108">
        <v>2576094.2200000002</v>
      </c>
      <c r="Q108" s="108"/>
      <c r="R108" s="108">
        <f>+AQ108+AR108-94851</f>
        <v>2358216.9700000002</v>
      </c>
      <c r="S108" s="108">
        <f>+'Приложение №2'!E108-'Приложение №1'!P108-'Приложение №1'!R108-'Приложение №1'!T108</f>
        <v>13396040.082847085</v>
      </c>
      <c r="T108" s="107">
        <v>9385877.2699999996</v>
      </c>
      <c r="U108" s="108">
        <f t="shared" si="29"/>
        <v>6185.7606692884037</v>
      </c>
      <c r="V108" s="108">
        <f t="shared" si="29"/>
        <v>6185.7606692884037</v>
      </c>
      <c r="W108" s="135">
        <v>2022</v>
      </c>
      <c r="X108" s="28" t="e">
        <f>+#REF!-'[1]Приложение №1'!$P1088</f>
        <v>#REF!</v>
      </c>
      <c r="Z108" s="30">
        <f t="shared" si="30"/>
        <v>73758689.839999989</v>
      </c>
      <c r="AA108" s="26">
        <v>6929151.7355478602</v>
      </c>
      <c r="AB108" s="26">
        <v>4007317.8733992605</v>
      </c>
      <c r="AC108" s="26">
        <v>4236031.7089398</v>
      </c>
      <c r="AD108" s="26">
        <v>3230010.1851276006</v>
      </c>
      <c r="AE108" s="26">
        <v>0</v>
      </c>
      <c r="AF108" s="26"/>
      <c r="AG108" s="26">
        <v>344307.72949692002</v>
      </c>
      <c r="AH108" s="26">
        <v>0</v>
      </c>
      <c r="AI108" s="26">
        <v>12334945.070788199</v>
      </c>
      <c r="AJ108" s="26">
        <v>0</v>
      </c>
      <c r="AK108" s="26">
        <v>23948365.833656877</v>
      </c>
      <c r="AL108" s="26">
        <v>9418585.1320217997</v>
      </c>
      <c r="AM108" s="26">
        <v>7163024.8004000001</v>
      </c>
      <c r="AN108" s="31">
        <v>737586.89840000006</v>
      </c>
      <c r="AO108" s="32">
        <v>1409362.8722216799</v>
      </c>
      <c r="AP108" s="77">
        <f>+N108-'Приложение №2'!E108</f>
        <v>0</v>
      </c>
      <c r="AQ108" s="1">
        <v>1987606.27</v>
      </c>
      <c r="AR108" s="1">
        <f t="shared" si="31"/>
        <v>465461.7</v>
      </c>
      <c r="AS108" s="1">
        <f>+(K108*10+L108*20)*12*30</f>
        <v>16428060</v>
      </c>
      <c r="AT108" s="28">
        <f t="shared" si="27"/>
        <v>-3032019.9171529151</v>
      </c>
    </row>
    <row r="109" spans="1:51" x14ac:dyDescent="0.25">
      <c r="A109" s="72">
        <f t="shared" si="33"/>
        <v>92</v>
      </c>
      <c r="B109" s="73">
        <f t="shared" si="33"/>
        <v>92</v>
      </c>
      <c r="C109" s="73" t="s">
        <v>51</v>
      </c>
      <c r="D109" s="120" t="s">
        <v>429</v>
      </c>
      <c r="E109" s="121">
        <v>1987</v>
      </c>
      <c r="F109" s="121">
        <v>1987</v>
      </c>
      <c r="G109" s="121" t="s">
        <v>43</v>
      </c>
      <c r="H109" s="121">
        <v>5</v>
      </c>
      <c r="I109" s="121">
        <v>3</v>
      </c>
      <c r="J109" s="107">
        <v>5170.7</v>
      </c>
      <c r="K109" s="107">
        <v>2871.7</v>
      </c>
      <c r="L109" s="107">
        <v>2299</v>
      </c>
      <c r="M109" s="122">
        <v>334</v>
      </c>
      <c r="N109" s="123">
        <f t="shared" si="32"/>
        <v>14611197.907108922</v>
      </c>
      <c r="O109" s="107"/>
      <c r="P109" s="108">
        <v>3490403.93</v>
      </c>
      <c r="Q109" s="108"/>
      <c r="R109" s="108">
        <f>2347658.31-144404.29</f>
        <v>2203254.02</v>
      </c>
      <c r="S109" s="108">
        <f>+'Приложение №2'!E109-'Приложение №1'!P109-'Приложение №1'!R109-'Приложение №1'!T109</f>
        <v>8917539.9571089204</v>
      </c>
      <c r="T109" s="107"/>
      <c r="U109" s="108">
        <f t="shared" si="29"/>
        <v>2825.7678664608125</v>
      </c>
      <c r="V109" s="108">
        <f t="shared" si="29"/>
        <v>2825.7678664608125</v>
      </c>
      <c r="W109" s="135">
        <v>2022</v>
      </c>
      <c r="X109" s="28" t="e">
        <f>+#REF!-'[1]Приложение №1'!$P1090</f>
        <v>#REF!</v>
      </c>
      <c r="Z109" s="30">
        <f t="shared" si="30"/>
        <v>44376055.650000006</v>
      </c>
      <c r="AA109" s="26">
        <v>6705846.8643129608</v>
      </c>
      <c r="AB109" s="26">
        <v>2389568.92118868</v>
      </c>
      <c r="AC109" s="26">
        <v>2496567.8323118398</v>
      </c>
      <c r="AD109" s="26">
        <v>1563009.3139332</v>
      </c>
      <c r="AE109" s="26">
        <v>0</v>
      </c>
      <c r="AF109" s="26"/>
      <c r="AG109" s="26">
        <v>257321.70331307995</v>
      </c>
      <c r="AH109" s="26">
        <v>0</v>
      </c>
      <c r="AI109" s="26">
        <v>12259308.387853799</v>
      </c>
      <c r="AJ109" s="26">
        <v>0</v>
      </c>
      <c r="AK109" s="26">
        <v>6365089.67499342</v>
      </c>
      <c r="AL109" s="26">
        <v>6865494.2663706001</v>
      </c>
      <c r="AM109" s="26">
        <v>4179375.6532000005</v>
      </c>
      <c r="AN109" s="31">
        <v>443760.55650000001</v>
      </c>
      <c r="AO109" s="32">
        <v>850712.47602241999</v>
      </c>
      <c r="AP109" s="77">
        <f>+N109-'Приложение №2'!E109</f>
        <v>0</v>
      </c>
      <c r="AQ109" s="1">
        <v>2578731.31</v>
      </c>
      <c r="AR109" s="1">
        <f t="shared" si="31"/>
        <v>761909.4</v>
      </c>
      <c r="AS109" s="1">
        <f>+(K109*10+L109*20)*12*30</f>
        <v>26890920</v>
      </c>
      <c r="AT109" s="28">
        <f t="shared" si="27"/>
        <v>-17973380.042891078</v>
      </c>
    </row>
    <row r="110" spans="1:51" x14ac:dyDescent="0.25">
      <c r="A110" s="72">
        <f t="shared" si="33"/>
        <v>93</v>
      </c>
      <c r="B110" s="73">
        <f t="shared" si="33"/>
        <v>93</v>
      </c>
      <c r="C110" s="73" t="s">
        <v>51</v>
      </c>
      <c r="D110" s="120" t="s">
        <v>430</v>
      </c>
      <c r="E110" s="121">
        <v>1970</v>
      </c>
      <c r="F110" s="121">
        <v>2013</v>
      </c>
      <c r="G110" s="121" t="s">
        <v>43</v>
      </c>
      <c r="H110" s="121">
        <v>4</v>
      </c>
      <c r="I110" s="121">
        <v>4</v>
      </c>
      <c r="J110" s="107">
        <v>3209.3</v>
      </c>
      <c r="K110" s="107">
        <v>2718.2</v>
      </c>
      <c r="L110" s="107">
        <v>0</v>
      </c>
      <c r="M110" s="122">
        <v>128</v>
      </c>
      <c r="N110" s="123">
        <f t="shared" si="32"/>
        <v>1092667.3</v>
      </c>
      <c r="O110" s="107"/>
      <c r="P110" s="108">
        <v>923688.17</v>
      </c>
      <c r="Q110" s="108"/>
      <c r="R110" s="108"/>
      <c r="S110" s="108">
        <v>168979.13</v>
      </c>
      <c r="T110" s="107">
        <f>+'Приложение №2'!E110-'Приложение №1'!P110-'Приложение №1'!Q110-'Приложение №1'!R110-'Приложение №1'!S110</f>
        <v>0</v>
      </c>
      <c r="U110" s="108">
        <f t="shared" si="29"/>
        <v>401.98193657567515</v>
      </c>
      <c r="V110" s="108">
        <f t="shared" si="29"/>
        <v>401.98193657567515</v>
      </c>
      <c r="W110" s="135">
        <v>2022</v>
      </c>
      <c r="X110" s="28" t="e">
        <f>+#REF!-'[1]Приложение №1'!$P687</f>
        <v>#REF!</v>
      </c>
      <c r="Z110" s="30">
        <f t="shared" si="30"/>
        <v>8384825.7976820003</v>
      </c>
      <c r="AA110" s="26">
        <v>0</v>
      </c>
      <c r="AB110" s="26">
        <v>0</v>
      </c>
      <c r="AC110" s="26">
        <v>0</v>
      </c>
      <c r="AD110" s="26">
        <v>0</v>
      </c>
      <c r="AE110" s="26">
        <v>1159895.3899999999</v>
      </c>
      <c r="AF110" s="26"/>
      <c r="AG110" s="26">
        <v>0</v>
      </c>
      <c r="AH110" s="26">
        <v>0</v>
      </c>
      <c r="AI110" s="26">
        <v>0</v>
      </c>
      <c r="AJ110" s="26">
        <v>0</v>
      </c>
      <c r="AK110" s="26">
        <v>6147987.2414091602</v>
      </c>
      <c r="AL110" s="26">
        <v>0</v>
      </c>
      <c r="AM110" s="26">
        <v>864115.30400000012</v>
      </c>
      <c r="AN110" s="31">
        <v>72811.335399999996</v>
      </c>
      <c r="AO110" s="32">
        <v>140016.52687284001</v>
      </c>
      <c r="AP110" s="77">
        <f>+N110-'Приложение №2'!E110</f>
        <v>0</v>
      </c>
      <c r="AQ110" s="1">
        <v>1140903.55</v>
      </c>
      <c r="AR110" s="1">
        <f t="shared" si="31"/>
        <v>277256.39999999997</v>
      </c>
      <c r="AS110" s="1">
        <f>+(K110*10+L110*20)*12*30</f>
        <v>9785520</v>
      </c>
      <c r="AT110" s="28">
        <f t="shared" si="27"/>
        <v>-9616540.8699999992</v>
      </c>
    </row>
    <row r="111" spans="1:51" x14ac:dyDescent="0.25">
      <c r="A111" s="72">
        <f t="shared" si="33"/>
        <v>94</v>
      </c>
      <c r="B111" s="73">
        <f t="shared" si="33"/>
        <v>94</v>
      </c>
      <c r="C111" s="73" t="s">
        <v>51</v>
      </c>
      <c r="D111" s="120" t="s">
        <v>431</v>
      </c>
      <c r="E111" s="121">
        <v>1973</v>
      </c>
      <c r="F111" s="121">
        <v>2013</v>
      </c>
      <c r="G111" s="121" t="s">
        <v>83</v>
      </c>
      <c r="H111" s="121">
        <v>4</v>
      </c>
      <c r="I111" s="121">
        <v>4</v>
      </c>
      <c r="J111" s="107">
        <v>4678.76</v>
      </c>
      <c r="K111" s="107">
        <v>3451.8</v>
      </c>
      <c r="L111" s="107">
        <v>0</v>
      </c>
      <c r="M111" s="122">
        <v>168</v>
      </c>
      <c r="N111" s="133">
        <f t="shared" si="32"/>
        <v>1944736.54</v>
      </c>
      <c r="O111" s="107"/>
      <c r="P111" s="108"/>
      <c r="Q111" s="108"/>
      <c r="R111" s="108">
        <f t="shared" ref="R111" si="34">+AQ111+AR111</f>
        <v>1874829.5699999998</v>
      </c>
      <c r="S111" s="108">
        <f>+'Приложение №2'!E111-'Приложение №1'!R111</f>
        <v>69906.970000000205</v>
      </c>
      <c r="T111" s="108">
        <v>0</v>
      </c>
      <c r="U111" s="107">
        <f t="shared" si="29"/>
        <v>563.39780404426676</v>
      </c>
      <c r="V111" s="107">
        <f t="shared" si="29"/>
        <v>563.39780404426676</v>
      </c>
      <c r="W111" s="135">
        <v>2022</v>
      </c>
      <c r="X111" s="28">
        <f>+S111-'[1]Приложение №1'!$P480</f>
        <v>-3470711.4604999996</v>
      </c>
      <c r="Z111" s="30">
        <f t="shared" si="30"/>
        <v>1494080.68</v>
      </c>
      <c r="AA111" s="26">
        <v>0</v>
      </c>
      <c r="AB111" s="26">
        <v>0</v>
      </c>
      <c r="AC111" s="26">
        <v>0</v>
      </c>
      <c r="AD111" s="26">
        <v>0</v>
      </c>
      <c r="AE111" s="26">
        <v>1274871.31</v>
      </c>
      <c r="AF111" s="26"/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209316.16</v>
      </c>
      <c r="AN111" s="31">
        <v>2500</v>
      </c>
      <c r="AO111" s="32">
        <v>7393.21</v>
      </c>
      <c r="AP111" s="77">
        <f>+N111-'Приложение №2'!E111</f>
        <v>0</v>
      </c>
      <c r="AQ111" s="28">
        <f>1522745.97</f>
        <v>1522745.97</v>
      </c>
      <c r="AR111" s="1">
        <f t="shared" si="31"/>
        <v>352083.6</v>
      </c>
      <c r="AS111" s="1">
        <f t="shared" ref="AS111" si="35">+(K111*10+L111*20)*12*30</f>
        <v>12426480</v>
      </c>
      <c r="AT111" s="28">
        <f t="shared" si="27"/>
        <v>-12356573.029999999</v>
      </c>
      <c r="AU111" s="28">
        <f>+P111-'[6]Приложение №1'!$P100</f>
        <v>-474969.93999999994</v>
      </c>
      <c r="AV111" s="28">
        <f>+Q111-'[6]Приложение №1'!$Q100</f>
        <v>0</v>
      </c>
      <c r="AW111" s="28">
        <f>+R111-'[6]Приложение №1'!$R100</f>
        <v>1322066.0699999998</v>
      </c>
      <c r="AX111" s="28">
        <f>+S111-'[6]Приложение №1'!$S100</f>
        <v>-4100805.4975821008</v>
      </c>
      <c r="AY111" s="28">
        <f>+T111-'[6]Приложение №1'!$T100</f>
        <v>0</v>
      </c>
    </row>
    <row r="112" spans="1:51" x14ac:dyDescent="0.25">
      <c r="A112" s="72">
        <f t="shared" si="33"/>
        <v>95</v>
      </c>
      <c r="B112" s="73">
        <f t="shared" si="33"/>
        <v>95</v>
      </c>
      <c r="C112" s="73" t="s">
        <v>51</v>
      </c>
      <c r="D112" s="120" t="s">
        <v>432</v>
      </c>
      <c r="E112" s="121">
        <v>1989</v>
      </c>
      <c r="F112" s="121">
        <v>2012</v>
      </c>
      <c r="G112" s="121" t="s">
        <v>43</v>
      </c>
      <c r="H112" s="121">
        <v>9</v>
      </c>
      <c r="I112" s="121">
        <v>1</v>
      </c>
      <c r="J112" s="107">
        <v>5704.32</v>
      </c>
      <c r="K112" s="107">
        <v>3900.7</v>
      </c>
      <c r="L112" s="107">
        <v>0</v>
      </c>
      <c r="M112" s="122">
        <v>280</v>
      </c>
      <c r="N112" s="133">
        <f>+P112+Q112+R112+S112+T112</f>
        <v>3493023.9110059999</v>
      </c>
      <c r="O112" s="107"/>
      <c r="P112" s="108"/>
      <c r="Q112" s="108"/>
      <c r="R112" s="108">
        <f>+AQ112+AR112</f>
        <v>2691688.4905999997</v>
      </c>
      <c r="S112" s="108">
        <f>+'Приложение №2'!E112-'Приложение №1'!R112</f>
        <v>801335.42040600022</v>
      </c>
      <c r="T112" s="108">
        <v>0</v>
      </c>
      <c r="U112" s="107">
        <f>$N112/($K112+$L112)</f>
        <v>895.48642833491431</v>
      </c>
      <c r="V112" s="107">
        <f>$N112/($K112+$L112)</f>
        <v>895.48642833491431</v>
      </c>
      <c r="W112" s="135">
        <v>2022</v>
      </c>
      <c r="X112" s="28" t="e">
        <f>+#REF!-'[1]Приложение №1'!$P1479</f>
        <v>#REF!</v>
      </c>
      <c r="Z112" s="30">
        <f>SUM(AA112:AO112)</f>
        <v>4018667.23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/>
      <c r="AG112" s="26">
        <v>0</v>
      </c>
      <c r="AH112" s="26">
        <v>0</v>
      </c>
      <c r="AI112" s="26">
        <v>3789709.0289940001</v>
      </c>
      <c r="AJ112" s="26">
        <v>0</v>
      </c>
      <c r="AK112" s="26">
        <v>0</v>
      </c>
      <c r="AL112" s="26">
        <v>0</v>
      </c>
      <c r="AM112" s="26">
        <v>122084.94</v>
      </c>
      <c r="AN112" s="26">
        <v>24000</v>
      </c>
      <c r="AO112" s="32">
        <v>82873.261006000001</v>
      </c>
      <c r="AP112" s="77">
        <f>+N112-'Приложение №2'!E112</f>
        <v>0</v>
      </c>
      <c r="AQ112" s="1">
        <v>2162917.4</v>
      </c>
      <c r="AR112" s="1">
        <f>+(K112*13.29+L112*22.52)*12*0.85</f>
        <v>528771.09059999988</v>
      </c>
      <c r="AS112" s="1">
        <f>+(K112*13.29+L112*22.52)*12*30</f>
        <v>18662509.079999998</v>
      </c>
      <c r="AT112" s="28">
        <f>+S112-AS112</f>
        <v>-17861173.659593999</v>
      </c>
      <c r="AU112" s="28">
        <f>+P112-'[6]Приложение №1'!$P312</f>
        <v>-6968602.897110614</v>
      </c>
      <c r="AV112" s="28">
        <f>+Q112-'[6]Приложение №1'!$Q312</f>
        <v>0</v>
      </c>
      <c r="AW112" s="28">
        <f>+R112-'[6]Приложение №1'!$R312</f>
        <v>0</v>
      </c>
      <c r="AX112" s="28">
        <f>+S112-'[6]Приложение №1'!$S312</f>
        <v>-525643.31899400009</v>
      </c>
      <c r="AY112" s="28">
        <f>+T112-'[6]Приложение №1'!$T312</f>
        <v>0</v>
      </c>
    </row>
    <row r="113" spans="1:46" x14ac:dyDescent="0.25">
      <c r="A113" s="72">
        <f t="shared" si="33"/>
        <v>96</v>
      </c>
      <c r="B113" s="73">
        <f t="shared" si="33"/>
        <v>96</v>
      </c>
      <c r="C113" s="73" t="s">
        <v>51</v>
      </c>
      <c r="D113" s="120" t="s">
        <v>433</v>
      </c>
      <c r="E113" s="121">
        <v>1992</v>
      </c>
      <c r="F113" s="121">
        <v>2013</v>
      </c>
      <c r="G113" s="121" t="s">
        <v>83</v>
      </c>
      <c r="H113" s="121">
        <v>10</v>
      </c>
      <c r="I113" s="121">
        <v>4</v>
      </c>
      <c r="J113" s="107">
        <v>12644.49</v>
      </c>
      <c r="K113" s="107">
        <v>10557.43</v>
      </c>
      <c r="L113" s="107">
        <v>90.5</v>
      </c>
      <c r="M113" s="122">
        <v>379</v>
      </c>
      <c r="N113" s="123">
        <f t="shared" si="32"/>
        <v>8609691.4240093995</v>
      </c>
      <c r="O113" s="107"/>
      <c r="P113" s="108"/>
      <c r="Q113" s="108"/>
      <c r="R113" s="108">
        <v>6910298.2999999998</v>
      </c>
      <c r="S113" s="108">
        <f>+'Приложение №2'!E113-'Приложение №1'!R113</f>
        <v>1699393.1240093997</v>
      </c>
      <c r="T113" s="107">
        <f>+'Приложение №2'!E113-'Приложение №1'!P113-'Приложение №1'!Q113-'Приложение №1'!R113-'Приложение №1'!S113</f>
        <v>0</v>
      </c>
      <c r="U113" s="108">
        <f t="shared" si="29"/>
        <v>808.57889035797564</v>
      </c>
      <c r="V113" s="108">
        <f t="shared" si="29"/>
        <v>808.57889035797564</v>
      </c>
      <c r="W113" s="135">
        <v>2022</v>
      </c>
      <c r="X113" s="28" t="e">
        <f>+#REF!-'[1]Приложение №1'!$P1093</f>
        <v>#REF!</v>
      </c>
      <c r="Z113" s="30">
        <f t="shared" si="30"/>
        <v>9468137.6899999976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/>
      <c r="AG113" s="26">
        <v>0</v>
      </c>
      <c r="AH113" s="26">
        <v>0</v>
      </c>
      <c r="AI113" s="26">
        <v>8338967.5890905978</v>
      </c>
      <c r="AJ113" s="26">
        <v>0</v>
      </c>
      <c r="AK113" s="26">
        <v>0</v>
      </c>
      <c r="AL113" s="26">
        <v>0</v>
      </c>
      <c r="AM113" s="26">
        <v>852132.39209999994</v>
      </c>
      <c r="AN113" s="31">
        <v>94681.376900000003</v>
      </c>
      <c r="AO113" s="32">
        <v>182356.33190939997</v>
      </c>
      <c r="AP113" s="77">
        <f>+N113-'Приложение №2'!E113</f>
        <v>0</v>
      </c>
      <c r="AQ113" s="1">
        <v>6495346.2400000002</v>
      </c>
      <c r="AR113" s="1">
        <f>+(K113*13.29+L113*22.52)*12*0.85</f>
        <v>1451932.3079399997</v>
      </c>
      <c r="AS113" s="1">
        <f>+(K113*13.29+L113*22.52)*12*30</f>
        <v>51244669.691999994</v>
      </c>
      <c r="AT113" s="28">
        <f t="shared" si="27"/>
        <v>-49545276.567990594</v>
      </c>
    </row>
    <row r="114" spans="1:46" x14ac:dyDescent="0.25">
      <c r="A114" s="72">
        <f t="shared" si="33"/>
        <v>97</v>
      </c>
      <c r="B114" s="73">
        <f t="shared" si="33"/>
        <v>97</v>
      </c>
      <c r="C114" s="73" t="s">
        <v>51</v>
      </c>
      <c r="D114" s="120" t="s">
        <v>434</v>
      </c>
      <c r="E114" s="121">
        <v>1980</v>
      </c>
      <c r="F114" s="121">
        <v>2008</v>
      </c>
      <c r="G114" s="121" t="s">
        <v>83</v>
      </c>
      <c r="H114" s="121">
        <v>5</v>
      </c>
      <c r="I114" s="121">
        <v>6</v>
      </c>
      <c r="J114" s="107">
        <v>7149.4</v>
      </c>
      <c r="K114" s="107">
        <v>6325.2</v>
      </c>
      <c r="L114" s="107">
        <v>0</v>
      </c>
      <c r="M114" s="122">
        <v>293</v>
      </c>
      <c r="N114" s="123">
        <f t="shared" ref="N114:N131" si="36">+P114+Q114+R114+S114+T114</f>
        <v>18469307.326755162</v>
      </c>
      <c r="O114" s="107"/>
      <c r="P114" s="108"/>
      <c r="Q114" s="108"/>
      <c r="R114" s="108">
        <v>1661064.07</v>
      </c>
      <c r="S114" s="108">
        <f>+'Приложение №2'!E114-'Приложение №1'!R114</f>
        <v>16808243.256755162</v>
      </c>
      <c r="T114" s="108">
        <f>+'Приложение №2'!E114-'Приложение №1'!P114-'Приложение №1'!R114-'Приложение №1'!S114</f>
        <v>0</v>
      </c>
      <c r="U114" s="108">
        <f t="shared" si="29"/>
        <v>2919.9562585776202</v>
      </c>
      <c r="V114" s="108">
        <f t="shared" si="29"/>
        <v>2919.9562585776202</v>
      </c>
      <c r="W114" s="135">
        <v>2022</v>
      </c>
      <c r="X114" s="28" t="e">
        <f>+#REF!-'[1]Приложение №1'!$P1094</f>
        <v>#REF!</v>
      </c>
      <c r="Z114" s="30">
        <f t="shared" si="30"/>
        <v>114548451.67</v>
      </c>
      <c r="AA114" s="26">
        <v>10489330.258041179</v>
      </c>
      <c r="AB114" s="26">
        <v>6066266.4462859211</v>
      </c>
      <c r="AC114" s="26">
        <v>6412492.7922270596</v>
      </c>
      <c r="AD114" s="26">
        <v>4889580.2685996005</v>
      </c>
      <c r="AE114" s="26">
        <v>1953287.2251610199</v>
      </c>
      <c r="AF114" s="26"/>
      <c r="AG114" s="26">
        <v>521212.05792599992</v>
      </c>
      <c r="AH114" s="26">
        <v>0</v>
      </c>
      <c r="AI114" s="26">
        <v>18672604.894377001</v>
      </c>
      <c r="AJ114" s="26">
        <v>0</v>
      </c>
      <c r="AK114" s="26">
        <v>36252968.326471262</v>
      </c>
      <c r="AL114" s="26">
        <v>14257827.475101</v>
      </c>
      <c r="AM114" s="26">
        <v>11711193.4519</v>
      </c>
      <c r="AN114" s="31">
        <v>1145484.5167</v>
      </c>
      <c r="AO114" s="32">
        <v>2176203.9572099601</v>
      </c>
      <c r="AP114" s="77">
        <f>+N114-'Приложение №2'!E114</f>
        <v>0</v>
      </c>
      <c r="AQ114" s="1">
        <v>3044323.81</v>
      </c>
      <c r="AR114" s="1">
        <f t="shared" ref="AR114:AR122" si="37">+(K114*10+L114*20)*12*0.85</f>
        <v>645170.4</v>
      </c>
      <c r="AS114" s="1">
        <f t="shared" ref="AS114:AS122" si="38">+(K114*10+L114*20)*12*30</f>
        <v>22770720</v>
      </c>
      <c r="AT114" s="28">
        <f t="shared" si="27"/>
        <v>-5962476.743244838</v>
      </c>
    </row>
    <row r="115" spans="1:46" x14ac:dyDescent="0.25">
      <c r="A115" s="72">
        <f t="shared" ref="A115:B130" si="39">+A114+1</f>
        <v>98</v>
      </c>
      <c r="B115" s="73">
        <f t="shared" si="39"/>
        <v>98</v>
      </c>
      <c r="C115" s="73" t="s">
        <v>51</v>
      </c>
      <c r="D115" s="120" t="s">
        <v>435</v>
      </c>
      <c r="E115" s="121">
        <v>1991</v>
      </c>
      <c r="F115" s="121">
        <v>2013</v>
      </c>
      <c r="G115" s="121" t="s">
        <v>83</v>
      </c>
      <c r="H115" s="121">
        <v>5</v>
      </c>
      <c r="I115" s="121">
        <v>6</v>
      </c>
      <c r="J115" s="107">
        <v>7178.4</v>
      </c>
      <c r="K115" s="107">
        <v>6274.92</v>
      </c>
      <c r="L115" s="107">
        <v>0</v>
      </c>
      <c r="M115" s="122">
        <v>326</v>
      </c>
      <c r="N115" s="123">
        <f t="shared" si="36"/>
        <v>24274955.771498859</v>
      </c>
      <c r="O115" s="107"/>
      <c r="P115" s="108"/>
      <c r="Q115" s="108"/>
      <c r="R115" s="108">
        <f>+AQ115+AR115</f>
        <v>3540174.4699999997</v>
      </c>
      <c r="S115" s="108">
        <f>+'Приложение №2'!E115-'Приложение №1'!P115-'Приложение №1'!Q115-'Приложение №1'!R115</f>
        <v>20734781.30149886</v>
      </c>
      <c r="T115" s="107">
        <f>+'Приложение №2'!E115-'Приложение №1'!P115-'Приложение №1'!Q115-'Приложение №1'!R115-'Приложение №1'!S115</f>
        <v>0</v>
      </c>
      <c r="U115" s="108">
        <f t="shared" si="29"/>
        <v>3868.5681684386191</v>
      </c>
      <c r="V115" s="108">
        <f t="shared" si="29"/>
        <v>3868.5681684386191</v>
      </c>
      <c r="W115" s="135">
        <v>2022</v>
      </c>
      <c r="X115" s="28" t="e">
        <f>+#REF!-'[1]Приложение №1'!$P1095</f>
        <v>#REF!</v>
      </c>
      <c r="Z115" s="30">
        <f t="shared" si="30"/>
        <v>114739882.34000002</v>
      </c>
      <c r="AA115" s="26">
        <v>10506859.78146714</v>
      </c>
      <c r="AB115" s="26">
        <v>6076404.2463314394</v>
      </c>
      <c r="AC115" s="26">
        <v>6423209.20185294</v>
      </c>
      <c r="AD115" s="26">
        <v>4897751.6187221995</v>
      </c>
      <c r="AE115" s="26">
        <v>1956551.5156395598</v>
      </c>
      <c r="AF115" s="26"/>
      <c r="AG115" s="26">
        <v>522083.09510700009</v>
      </c>
      <c r="AH115" s="26">
        <v>0</v>
      </c>
      <c r="AI115" s="26">
        <v>18703810.111480199</v>
      </c>
      <c r="AJ115" s="26">
        <v>0</v>
      </c>
      <c r="AK115" s="26">
        <v>36313553.428299837</v>
      </c>
      <c r="AL115" s="26">
        <v>14281654.8168945</v>
      </c>
      <c r="AM115" s="26">
        <v>11730764.922900002</v>
      </c>
      <c r="AN115" s="31">
        <v>1147398.8234000001</v>
      </c>
      <c r="AO115" s="32">
        <v>2179840.7779051797</v>
      </c>
      <c r="AP115" s="77">
        <f>+N115-'Приложение №2'!E115</f>
        <v>0</v>
      </c>
      <c r="AQ115" s="1">
        <v>2900132.63</v>
      </c>
      <c r="AR115" s="1">
        <f t="shared" si="37"/>
        <v>640041.83999999985</v>
      </c>
      <c r="AS115" s="1">
        <f t="shared" si="38"/>
        <v>22589711.999999996</v>
      </c>
      <c r="AT115" s="28">
        <f t="shared" si="27"/>
        <v>-1854930.6985011362</v>
      </c>
    </row>
    <row r="116" spans="1:46" x14ac:dyDescent="0.25">
      <c r="A116" s="72">
        <f t="shared" si="39"/>
        <v>99</v>
      </c>
      <c r="B116" s="73">
        <f t="shared" si="39"/>
        <v>99</v>
      </c>
      <c r="C116" s="73" t="s">
        <v>51</v>
      </c>
      <c r="D116" s="120" t="s">
        <v>436</v>
      </c>
      <c r="E116" s="121">
        <v>1988</v>
      </c>
      <c r="F116" s="121">
        <v>2013</v>
      </c>
      <c r="G116" s="121" t="s">
        <v>83</v>
      </c>
      <c r="H116" s="121">
        <v>5</v>
      </c>
      <c r="I116" s="121">
        <v>6</v>
      </c>
      <c r="J116" s="107">
        <v>7060</v>
      </c>
      <c r="K116" s="107">
        <v>6080.7</v>
      </c>
      <c r="L116" s="107">
        <v>143.1</v>
      </c>
      <c r="M116" s="122">
        <v>261</v>
      </c>
      <c r="N116" s="123">
        <f t="shared" si="36"/>
        <v>24384542.330598522</v>
      </c>
      <c r="O116" s="107"/>
      <c r="P116" s="108"/>
      <c r="Q116" s="108"/>
      <c r="R116" s="108">
        <f>+AQ116+AR116</f>
        <v>3405808.57</v>
      </c>
      <c r="S116" s="108">
        <f>+'Приложение №2'!E116-'Приложение №1'!P116-'Приложение №1'!Q116-'Приложение №1'!R116</f>
        <v>20978733.760598522</v>
      </c>
      <c r="T116" s="107">
        <f>+'Приложение №2'!E116-'Приложение №1'!P116-'Приложение №1'!Q116-'Приложение №1'!R116-'Приложение №1'!S116</f>
        <v>0</v>
      </c>
      <c r="U116" s="108">
        <f t="shared" si="29"/>
        <v>3917.9508227447091</v>
      </c>
      <c r="V116" s="108">
        <f t="shared" si="29"/>
        <v>3917.9508227447091</v>
      </c>
      <c r="W116" s="135">
        <v>2022</v>
      </c>
      <c r="X116" s="28" t="e">
        <f>+#REF!-'[1]Приложение №1'!$P1096</f>
        <v>#REF!</v>
      </c>
      <c r="Z116" s="30">
        <f t="shared" si="30"/>
        <v>113728034.62</v>
      </c>
      <c r="AA116" s="26">
        <v>10414203.74815548</v>
      </c>
      <c r="AB116" s="26">
        <v>6022818.7318051206</v>
      </c>
      <c r="AC116" s="26">
        <v>6366565.3410651591</v>
      </c>
      <c r="AD116" s="26">
        <v>4854560.1966455989</v>
      </c>
      <c r="AE116" s="26">
        <v>1939297.42329372</v>
      </c>
      <c r="AF116" s="26"/>
      <c r="AG116" s="26">
        <v>517479.04143600003</v>
      </c>
      <c r="AH116" s="26">
        <v>0</v>
      </c>
      <c r="AI116" s="26">
        <v>18538868.268521998</v>
      </c>
      <c r="AJ116" s="26">
        <v>0</v>
      </c>
      <c r="AK116" s="26">
        <v>35993317.908726364</v>
      </c>
      <c r="AL116" s="26">
        <v>14155710.295986</v>
      </c>
      <c r="AM116" s="26">
        <v>11627315.733400002</v>
      </c>
      <c r="AN116" s="31">
        <v>1137280.3462</v>
      </c>
      <c r="AO116" s="32">
        <v>2160617.5847645602</v>
      </c>
      <c r="AP116" s="77">
        <f>+N116-'Приложение №2'!E116</f>
        <v>0</v>
      </c>
      <c r="AQ116" s="1">
        <v>2756384.77</v>
      </c>
      <c r="AR116" s="1">
        <f t="shared" si="37"/>
        <v>649423.79999999993</v>
      </c>
      <c r="AS116" s="1">
        <f t="shared" si="38"/>
        <v>22920840</v>
      </c>
      <c r="AT116" s="28">
        <f t="shared" si="27"/>
        <v>-1942106.2394014783</v>
      </c>
    </row>
    <row r="117" spans="1:46" x14ac:dyDescent="0.25">
      <c r="A117" s="72">
        <f t="shared" si="39"/>
        <v>100</v>
      </c>
      <c r="B117" s="73">
        <f t="shared" si="39"/>
        <v>100</v>
      </c>
      <c r="C117" s="73" t="s">
        <v>51</v>
      </c>
      <c r="D117" s="120" t="s">
        <v>437</v>
      </c>
      <c r="E117" s="121">
        <v>1975</v>
      </c>
      <c r="F117" s="121">
        <v>2013</v>
      </c>
      <c r="G117" s="121" t="s">
        <v>43</v>
      </c>
      <c r="H117" s="121">
        <v>4</v>
      </c>
      <c r="I117" s="121">
        <v>4</v>
      </c>
      <c r="J117" s="107">
        <v>2912.6</v>
      </c>
      <c r="K117" s="107">
        <v>2004.3</v>
      </c>
      <c r="L117" s="107">
        <v>902.2</v>
      </c>
      <c r="M117" s="122">
        <v>104</v>
      </c>
      <c r="N117" s="123">
        <f t="shared" si="36"/>
        <v>1151789.168633756</v>
      </c>
      <c r="O117" s="107"/>
      <c r="P117" s="108"/>
      <c r="Q117" s="108"/>
      <c r="R117" s="108">
        <f>+'Приложение №2'!E117</f>
        <v>1151789.168633756</v>
      </c>
      <c r="S117" s="108"/>
      <c r="T117" s="107">
        <f>+'Приложение №2'!E117-'Приложение №1'!P117-'Приложение №1'!Q117-'Приложение №1'!R117-'Приложение №1'!S117</f>
        <v>0</v>
      </c>
      <c r="U117" s="108">
        <f t="shared" si="29"/>
        <v>396.28046400610907</v>
      </c>
      <c r="V117" s="108">
        <f t="shared" si="29"/>
        <v>396.28046400610907</v>
      </c>
      <c r="W117" s="135">
        <v>2022</v>
      </c>
      <c r="X117" s="28" t="e">
        <f>+#REF!-'[1]Приложение №1'!$P691</f>
        <v>#REF!</v>
      </c>
      <c r="Z117" s="30">
        <f t="shared" si="30"/>
        <v>33480583.039703999</v>
      </c>
      <c r="AA117" s="26">
        <v>4910426.619134401</v>
      </c>
      <c r="AB117" s="26">
        <v>1749786.8763320402</v>
      </c>
      <c r="AC117" s="26">
        <v>1828137.9504292798</v>
      </c>
      <c r="AD117" s="26">
        <v>1144529.9445770402</v>
      </c>
      <c r="AE117" s="26">
        <v>818458.35</v>
      </c>
      <c r="AF117" s="26"/>
      <c r="AG117" s="26">
        <v>188426.51279339998</v>
      </c>
      <c r="AH117" s="26">
        <v>0</v>
      </c>
      <c r="AI117" s="26">
        <v>8977006.9994345997</v>
      </c>
      <c r="AJ117" s="26">
        <v>0</v>
      </c>
      <c r="AK117" s="26">
        <v>4660903.59852558</v>
      </c>
      <c r="AL117" s="26">
        <v>5027330.1025222801</v>
      </c>
      <c r="AM117" s="26">
        <v>3221989.0267999996</v>
      </c>
      <c r="AN117" s="31">
        <v>327170.53649999999</v>
      </c>
      <c r="AO117" s="32">
        <v>626416.52265538019</v>
      </c>
      <c r="AP117" s="77">
        <f>+N117-'Приложение №2'!E117</f>
        <v>0</v>
      </c>
      <c r="AQ117" s="1">
        <v>1936703.42</v>
      </c>
      <c r="AR117" s="1">
        <f t="shared" si="37"/>
        <v>388487.39999999997</v>
      </c>
      <c r="AS117" s="1">
        <f t="shared" si="38"/>
        <v>13711320</v>
      </c>
      <c r="AT117" s="28">
        <f t="shared" si="27"/>
        <v>-13711320</v>
      </c>
    </row>
    <row r="118" spans="1:46" x14ac:dyDescent="0.25">
      <c r="A118" s="72">
        <f t="shared" si="39"/>
        <v>101</v>
      </c>
      <c r="B118" s="73">
        <f t="shared" si="39"/>
        <v>101</v>
      </c>
      <c r="C118" s="73" t="s">
        <v>51</v>
      </c>
      <c r="D118" s="120" t="s">
        <v>438</v>
      </c>
      <c r="E118" s="121">
        <v>1993</v>
      </c>
      <c r="F118" s="121">
        <v>2013</v>
      </c>
      <c r="G118" s="121" t="s">
        <v>43</v>
      </c>
      <c r="H118" s="121">
        <v>5</v>
      </c>
      <c r="I118" s="121">
        <v>2</v>
      </c>
      <c r="J118" s="107">
        <v>2382.6999999999998</v>
      </c>
      <c r="K118" s="107">
        <v>2177.75</v>
      </c>
      <c r="L118" s="107">
        <v>0</v>
      </c>
      <c r="M118" s="122">
        <v>103</v>
      </c>
      <c r="N118" s="123">
        <f t="shared" si="36"/>
        <v>8825748.4216627013</v>
      </c>
      <c r="O118" s="107"/>
      <c r="P118" s="108">
        <f>218626.81+157679</f>
        <v>376305.81</v>
      </c>
      <c r="Q118" s="108"/>
      <c r="R118" s="108">
        <v>751589.24</v>
      </c>
      <c r="S118" s="108">
        <f>+'Приложение №2'!E118-'Приложение №1'!P118-'Приложение №1'!Q118-'Приложение №1'!R118</f>
        <v>7697853.3716627005</v>
      </c>
      <c r="T118" s="107">
        <f>+'Приложение №2'!E118-'Приложение №1'!P118-'Приложение №1'!Q118-'Приложение №1'!R118-'Приложение №1'!S118</f>
        <v>0</v>
      </c>
      <c r="U118" s="108">
        <f t="shared" si="29"/>
        <v>4052.6912738664682</v>
      </c>
      <c r="V118" s="108">
        <f t="shared" si="29"/>
        <v>4052.6912738664682</v>
      </c>
      <c r="W118" s="135">
        <v>2022</v>
      </c>
      <c r="X118" s="28" t="e">
        <f>+#REF!-'[1]Приложение №1'!$P1097</f>
        <v>#REF!</v>
      </c>
      <c r="Z118" s="30">
        <f t="shared" si="30"/>
        <v>22932892.859999996</v>
      </c>
      <c r="AA118" s="26">
        <v>5269271.9163684594</v>
      </c>
      <c r="AB118" s="26">
        <v>1877658.2087747399</v>
      </c>
      <c r="AC118" s="26">
        <v>1961735.0389824603</v>
      </c>
      <c r="AD118" s="26">
        <v>1228170.1704375602</v>
      </c>
      <c r="AE118" s="26"/>
      <c r="AF118" s="26"/>
      <c r="AG118" s="26">
        <v>202196.39026187998</v>
      </c>
      <c r="AH118" s="26">
        <v>0</v>
      </c>
      <c r="AI118" s="26">
        <v>9633030.8035121989</v>
      </c>
      <c r="AJ118" s="26">
        <v>0</v>
      </c>
      <c r="AK118" s="26">
        <v>0</v>
      </c>
      <c r="AL118" s="26">
        <v>0</v>
      </c>
      <c r="AM118" s="26">
        <v>2090379.2508999999</v>
      </c>
      <c r="AN118" s="31">
        <v>229328.92859999998</v>
      </c>
      <c r="AO118" s="32">
        <v>441122.15216270008</v>
      </c>
      <c r="AP118" s="77">
        <f>+N118-'Приложение №2'!E118</f>
        <v>0</v>
      </c>
      <c r="AQ118" s="1">
        <v>1043569.01</v>
      </c>
      <c r="AR118" s="1">
        <f t="shared" si="37"/>
        <v>222130.5</v>
      </c>
      <c r="AS118" s="1">
        <f t="shared" si="38"/>
        <v>7839900</v>
      </c>
      <c r="AT118" s="28">
        <f t="shared" si="27"/>
        <v>-142046.62833729945</v>
      </c>
    </row>
    <row r="119" spans="1:46" x14ac:dyDescent="0.25">
      <c r="A119" s="72">
        <f t="shared" si="39"/>
        <v>102</v>
      </c>
      <c r="B119" s="73">
        <f t="shared" si="39"/>
        <v>102</v>
      </c>
      <c r="C119" s="73" t="s">
        <v>51</v>
      </c>
      <c r="D119" s="120" t="s">
        <v>439</v>
      </c>
      <c r="E119" s="121">
        <v>1966</v>
      </c>
      <c r="F119" s="121">
        <v>2013</v>
      </c>
      <c r="G119" s="121" t="s">
        <v>43</v>
      </c>
      <c r="H119" s="121">
        <v>4</v>
      </c>
      <c r="I119" s="121">
        <v>6</v>
      </c>
      <c r="J119" s="107">
        <v>2829.5</v>
      </c>
      <c r="K119" s="107">
        <v>2537.8000000000002</v>
      </c>
      <c r="L119" s="107">
        <v>230.6</v>
      </c>
      <c r="M119" s="122">
        <v>144</v>
      </c>
      <c r="N119" s="123">
        <f t="shared" si="36"/>
        <v>4462811.3410231601</v>
      </c>
      <c r="O119" s="107"/>
      <c r="P119" s="108"/>
      <c r="Q119" s="108"/>
      <c r="R119" s="108">
        <f>+AQ119+AR119-102987.16</f>
        <v>1506343.8800000001</v>
      </c>
      <c r="S119" s="108">
        <f>+'Приложение №2'!E119-'Приложение №1'!R119</f>
        <v>2956467.4610231603</v>
      </c>
      <c r="T119" s="107">
        <f>+'Приложение №2'!E119-'Приложение №1'!P119-'Приложение №1'!Q119-'Приложение №1'!R119-'Приложение №1'!S119</f>
        <v>0</v>
      </c>
      <c r="U119" s="108">
        <f t="shared" si="29"/>
        <v>1612.054378349646</v>
      </c>
      <c r="V119" s="108">
        <f t="shared" si="29"/>
        <v>1612.054378349646</v>
      </c>
      <c r="W119" s="135">
        <v>2022</v>
      </c>
      <c r="X119" s="28" t="e">
        <f>+#REF!-'[1]Приложение №1'!$P1488</f>
        <v>#REF!</v>
      </c>
      <c r="Z119" s="30">
        <f t="shared" si="30"/>
        <v>15087934.029999999</v>
      </c>
      <c r="AA119" s="26">
        <v>6065034.6402882598</v>
      </c>
      <c r="AB119" s="26">
        <v>2161221.1824524999</v>
      </c>
      <c r="AC119" s="26">
        <v>2257995.2503873804</v>
      </c>
      <c r="AD119" s="26">
        <v>1413647.7960217199</v>
      </c>
      <c r="AE119" s="26">
        <v>864921.32273358025</v>
      </c>
      <c r="AF119" s="26"/>
      <c r="AG119" s="26">
        <v>232731.98563608</v>
      </c>
      <c r="AH119" s="26"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1657316.1065</v>
      </c>
      <c r="AN119" s="31">
        <v>150879.34030000001</v>
      </c>
      <c r="AO119" s="32">
        <v>284186.40568048006</v>
      </c>
      <c r="AP119" s="77">
        <f>+N119-'Приложение №2'!E119</f>
        <v>0</v>
      </c>
      <c r="AQ119" s="1">
        <v>1303433.04</v>
      </c>
      <c r="AR119" s="1">
        <f t="shared" si="37"/>
        <v>305898</v>
      </c>
      <c r="AS119" s="1">
        <f t="shared" si="38"/>
        <v>10796400</v>
      </c>
      <c r="AT119" s="28">
        <f t="shared" si="27"/>
        <v>-7839932.5389768397</v>
      </c>
    </row>
    <row r="120" spans="1:46" x14ac:dyDescent="0.25">
      <c r="A120" s="72">
        <f t="shared" si="39"/>
        <v>103</v>
      </c>
      <c r="B120" s="73">
        <f t="shared" si="39"/>
        <v>103</v>
      </c>
      <c r="C120" s="73" t="s">
        <v>51</v>
      </c>
      <c r="D120" s="120" t="s">
        <v>440</v>
      </c>
      <c r="E120" s="121">
        <v>1973</v>
      </c>
      <c r="F120" s="121">
        <v>2013</v>
      </c>
      <c r="G120" s="121" t="s">
        <v>43</v>
      </c>
      <c r="H120" s="121">
        <v>5</v>
      </c>
      <c r="I120" s="121">
        <v>4</v>
      </c>
      <c r="J120" s="107">
        <v>3187.3</v>
      </c>
      <c r="K120" s="107">
        <v>2508.4</v>
      </c>
      <c r="L120" s="107">
        <v>678.9</v>
      </c>
      <c r="M120" s="122">
        <v>119</v>
      </c>
      <c r="N120" s="123">
        <f t="shared" si="36"/>
        <v>1013056.9700000001</v>
      </c>
      <c r="O120" s="107"/>
      <c r="P120" s="108"/>
      <c r="Q120" s="108"/>
      <c r="R120" s="108">
        <f>+'Приложение №2'!E120</f>
        <v>1013056.9700000001</v>
      </c>
      <c r="S120" s="108">
        <f>+'Приложение №2'!E120-'Приложение №1'!R120</f>
        <v>0</v>
      </c>
      <c r="T120" s="107">
        <f>+'Приложение №2'!E120-'Приложение №1'!P120-'Приложение №1'!Q120-'Приложение №1'!R120-'Приложение №1'!S120</f>
        <v>0</v>
      </c>
      <c r="U120" s="108">
        <f t="shared" si="29"/>
        <v>317.84173752078561</v>
      </c>
      <c r="V120" s="108">
        <f t="shared" si="29"/>
        <v>317.84173752078561</v>
      </c>
      <c r="W120" s="135">
        <v>2022</v>
      </c>
      <c r="X120" s="28" t="e">
        <f>+#REF!-'[1]Приложение №1'!$P700</f>
        <v>#REF!</v>
      </c>
      <c r="Z120" s="30">
        <f t="shared" si="30"/>
        <v>1264729.77</v>
      </c>
      <c r="AA120" s="26">
        <v>0</v>
      </c>
      <c r="AB120" s="26">
        <v>0</v>
      </c>
      <c r="AC120" s="26">
        <v>0</v>
      </c>
      <c r="AD120" s="26">
        <v>0</v>
      </c>
      <c r="AE120" s="26">
        <v>1007223.29</v>
      </c>
      <c r="AF120" s="26"/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241672.8</v>
      </c>
      <c r="AN120" s="31">
        <v>10000</v>
      </c>
      <c r="AO120" s="32">
        <v>5833.68</v>
      </c>
      <c r="AP120" s="77">
        <f>+N120-'Приложение №2'!E120</f>
        <v>0</v>
      </c>
      <c r="AQ120" s="1">
        <v>1840438.6</v>
      </c>
      <c r="AR120" s="1">
        <f t="shared" si="37"/>
        <v>394352.39999999997</v>
      </c>
      <c r="AS120" s="1">
        <f t="shared" si="38"/>
        <v>13918320</v>
      </c>
      <c r="AT120" s="28">
        <f t="shared" si="27"/>
        <v>-13918320</v>
      </c>
    </row>
    <row r="121" spans="1:46" x14ac:dyDescent="0.25">
      <c r="A121" s="72">
        <f t="shared" si="39"/>
        <v>104</v>
      </c>
      <c r="B121" s="73">
        <f t="shared" si="39"/>
        <v>104</v>
      </c>
      <c r="C121" s="73" t="s">
        <v>51</v>
      </c>
      <c r="D121" s="120" t="s">
        <v>441</v>
      </c>
      <c r="E121" s="121">
        <v>1995</v>
      </c>
      <c r="F121" s="121">
        <v>2013</v>
      </c>
      <c r="G121" s="121" t="s">
        <v>43</v>
      </c>
      <c r="H121" s="121">
        <v>5</v>
      </c>
      <c r="I121" s="121">
        <v>2</v>
      </c>
      <c r="J121" s="107">
        <v>2325.6999999999998</v>
      </c>
      <c r="K121" s="107">
        <v>1861.6</v>
      </c>
      <c r="L121" s="107">
        <v>0</v>
      </c>
      <c r="M121" s="122">
        <v>45</v>
      </c>
      <c r="N121" s="123">
        <f t="shared" si="36"/>
        <v>12649312.870907839</v>
      </c>
      <c r="O121" s="107"/>
      <c r="P121" s="108">
        <v>3166309.31</v>
      </c>
      <c r="Q121" s="108"/>
      <c r="R121" s="108">
        <v>801099.03</v>
      </c>
      <c r="S121" s="108">
        <f>+AS121</f>
        <v>6701760</v>
      </c>
      <c r="T121" s="107">
        <f>+'Приложение №2'!E121-'Приложение №1'!P121-'Приложение №1'!Q121-'Приложение №1'!R121-'Приложение №1'!S121</f>
        <v>1980144.5309078395</v>
      </c>
      <c r="U121" s="108">
        <f t="shared" si="29"/>
        <v>6794.8608030231198</v>
      </c>
      <c r="V121" s="108">
        <f t="shared" si="29"/>
        <v>6794.8608030231198</v>
      </c>
      <c r="W121" s="135">
        <v>2022</v>
      </c>
      <c r="X121" s="28" t="e">
        <f>+#REF!-'[1]Приложение №1'!$P1100</f>
        <v>#REF!</v>
      </c>
      <c r="Z121" s="30">
        <f t="shared" si="30"/>
        <v>24619973.59</v>
      </c>
      <c r="AA121" s="26">
        <v>4453931.4770332193</v>
      </c>
      <c r="AB121" s="26">
        <v>1587118.89355698</v>
      </c>
      <c r="AC121" s="26">
        <v>1658186.10096636</v>
      </c>
      <c r="AD121" s="26">
        <v>1038129.3440137201</v>
      </c>
      <c r="AE121" s="26">
        <v>0</v>
      </c>
      <c r="AF121" s="26"/>
      <c r="AG121" s="26">
        <v>170909.54989416001</v>
      </c>
      <c r="AH121" s="26">
        <v>0</v>
      </c>
      <c r="AI121" s="26">
        <v>8142464.4194249995</v>
      </c>
      <c r="AJ121" s="26">
        <v>0</v>
      </c>
      <c r="AK121" s="26">
        <v>0</v>
      </c>
      <c r="AL121" s="26">
        <v>4559967.0846529808</v>
      </c>
      <c r="AM121" s="26">
        <v>2290484.5943999998</v>
      </c>
      <c r="AN121" s="31">
        <v>246199.7359</v>
      </c>
      <c r="AO121" s="32">
        <v>472582.39015758003</v>
      </c>
      <c r="AP121" s="77">
        <f>+N121-'Приложение №2'!E121</f>
        <v>0</v>
      </c>
      <c r="AQ121" s="1">
        <v>717879.06</v>
      </c>
      <c r="AR121" s="1">
        <f t="shared" si="37"/>
        <v>189883.19999999998</v>
      </c>
      <c r="AS121" s="1">
        <f t="shared" si="38"/>
        <v>6701760</v>
      </c>
      <c r="AT121" s="28">
        <f t="shared" si="27"/>
        <v>0</v>
      </c>
    </row>
    <row r="122" spans="1:46" s="34" customFormat="1" x14ac:dyDescent="0.25">
      <c r="A122" s="72">
        <f t="shared" si="39"/>
        <v>105</v>
      </c>
      <c r="B122" s="73">
        <f t="shared" si="39"/>
        <v>105</v>
      </c>
      <c r="C122" s="73" t="s">
        <v>92</v>
      </c>
      <c r="D122" s="120" t="s">
        <v>442</v>
      </c>
      <c r="E122" s="121" t="s">
        <v>121</v>
      </c>
      <c r="F122" s="121"/>
      <c r="G122" s="121" t="s">
        <v>83</v>
      </c>
      <c r="H122" s="121" t="s">
        <v>101</v>
      </c>
      <c r="I122" s="121" t="s">
        <v>105</v>
      </c>
      <c r="J122" s="107">
        <v>5677.5</v>
      </c>
      <c r="K122" s="107">
        <v>4896.3999999999996</v>
      </c>
      <c r="L122" s="107">
        <v>72</v>
      </c>
      <c r="M122" s="122">
        <v>216</v>
      </c>
      <c r="N122" s="123">
        <f t="shared" si="36"/>
        <v>56109594.188878097</v>
      </c>
      <c r="O122" s="107">
        <v>0</v>
      </c>
      <c r="P122" s="108">
        <f>12974985.21+964259.01</f>
        <v>13939244.220000001</v>
      </c>
      <c r="Q122" s="108">
        <v>0</v>
      </c>
      <c r="R122" s="108">
        <v>2546224.96</v>
      </c>
      <c r="S122" s="108">
        <f>+AS122</f>
        <v>18145440</v>
      </c>
      <c r="T122" s="107">
        <f>+'Приложение №2'!E122-'Приложение №1'!P122-'Приложение №1'!Q122-'Приложение №1'!R122-'Приложение №1'!S122</f>
        <v>21478685.008878097</v>
      </c>
      <c r="U122" s="108">
        <v>224.97</v>
      </c>
      <c r="V122" s="108">
        <v>224.97</v>
      </c>
      <c r="W122" s="135">
        <v>2022</v>
      </c>
      <c r="X122" s="34">
        <v>1825680.39</v>
      </c>
      <c r="Y122" s="34">
        <f>+(K122*9.1+L122*18.19)*12</f>
        <v>550403.04</v>
      </c>
      <c r="AA122" s="35">
        <f>+N122-'[5]Приложение № 2'!E95</f>
        <v>54158448.568878099</v>
      </c>
      <c r="AD122" s="35">
        <f>+N122-'[5]Приложение № 2'!E95</f>
        <v>54158448.568878099</v>
      </c>
      <c r="AP122" s="77">
        <f>+N122-'Приложение №2'!E122</f>
        <v>0</v>
      </c>
      <c r="AQ122" s="34">
        <v>2265420.6</v>
      </c>
      <c r="AR122" s="1">
        <f t="shared" si="37"/>
        <v>514120.8</v>
      </c>
      <c r="AS122" s="1">
        <f t="shared" si="38"/>
        <v>18145440</v>
      </c>
      <c r="AT122" s="28">
        <f t="shared" si="27"/>
        <v>0</v>
      </c>
    </row>
    <row r="123" spans="1:46" x14ac:dyDescent="0.25">
      <c r="A123" s="72">
        <f t="shared" si="39"/>
        <v>106</v>
      </c>
      <c r="B123" s="73">
        <f t="shared" si="39"/>
        <v>106</v>
      </c>
      <c r="C123" s="73" t="s">
        <v>51</v>
      </c>
      <c r="D123" s="120" t="s">
        <v>443</v>
      </c>
      <c r="E123" s="121">
        <v>1986</v>
      </c>
      <c r="F123" s="121">
        <v>2013</v>
      </c>
      <c r="G123" s="121" t="s">
        <v>43</v>
      </c>
      <c r="H123" s="121">
        <v>12</v>
      </c>
      <c r="I123" s="121">
        <v>1</v>
      </c>
      <c r="J123" s="107">
        <v>5358.08</v>
      </c>
      <c r="K123" s="107">
        <v>4351.1000000000004</v>
      </c>
      <c r="L123" s="107">
        <v>75.099999999999994</v>
      </c>
      <c r="M123" s="122">
        <v>175</v>
      </c>
      <c r="N123" s="123">
        <f t="shared" si="36"/>
        <v>28210776.703030359</v>
      </c>
      <c r="O123" s="107"/>
      <c r="P123" s="108">
        <v>8285257.2000000002</v>
      </c>
      <c r="Q123" s="108"/>
      <c r="R123" s="108">
        <f>+AQ123+AR123</f>
        <v>3249810.1642</v>
      </c>
      <c r="S123" s="108">
        <f>+'Приложение №2'!E123-'Приложение №1'!P123-'Приложение №1'!Q123-'Приложение №1'!R123</f>
        <v>16675709.338830359</v>
      </c>
      <c r="T123" s="107">
        <f>+'Приложение №2'!E123-'Приложение №1'!P123-'Приложение №1'!Q123-'Приложение №1'!R123-'Приложение №1'!S123</f>
        <v>0</v>
      </c>
      <c r="U123" s="108">
        <f t="shared" ref="U123:V130" si="40">$N123/($K123+$L123)</f>
        <v>6373.5883383105947</v>
      </c>
      <c r="V123" s="108">
        <f t="shared" si="40"/>
        <v>6373.5883383105947</v>
      </c>
      <c r="W123" s="135">
        <v>2022</v>
      </c>
      <c r="X123" s="28" t="e">
        <f>+#REF!-'[1]Приложение №1'!$P1102</f>
        <v>#REF!</v>
      </c>
      <c r="Z123" s="30">
        <f>SUM(AA123:AO123)</f>
        <v>79559391.959999993</v>
      </c>
      <c r="AA123" s="26">
        <v>8341354.4473349992</v>
      </c>
      <c r="AB123" s="26">
        <v>5553433.1235902393</v>
      </c>
      <c r="AC123" s="26">
        <v>3380551.53059988</v>
      </c>
      <c r="AD123" s="26">
        <v>3049959.7596686399</v>
      </c>
      <c r="AE123" s="26">
        <v>1113740.92605384</v>
      </c>
      <c r="AF123" s="26"/>
      <c r="AG123" s="26">
        <v>465647.12643960002</v>
      </c>
      <c r="AH123" s="26">
        <v>0</v>
      </c>
      <c r="AI123" s="26">
        <v>3947389.3810512</v>
      </c>
      <c r="AJ123" s="26">
        <v>0</v>
      </c>
      <c r="AK123" s="26">
        <v>34269240.723520316</v>
      </c>
      <c r="AL123" s="26">
        <v>9011986.1099326797</v>
      </c>
      <c r="AM123" s="26">
        <v>8118689.5914000003</v>
      </c>
      <c r="AN123" s="31">
        <v>795593.91959999991</v>
      </c>
      <c r="AO123" s="32">
        <v>1511805.3208086002</v>
      </c>
      <c r="AP123" s="77">
        <f>+N123-'Приложение №2'!E123</f>
        <v>0</v>
      </c>
      <c r="AQ123" s="1">
        <v>2642732.98</v>
      </c>
      <c r="AR123" s="1">
        <f>+(K123*13.29+L123*22.52)*12*0.85</f>
        <v>607077.18420000002</v>
      </c>
      <c r="AS123" s="1">
        <f>+(K123*13.29+L123*22.52)*12*30</f>
        <v>21426253.560000002</v>
      </c>
      <c r="AT123" s="28">
        <f t="shared" si="27"/>
        <v>-4750544.2211696431</v>
      </c>
    </row>
    <row r="124" spans="1:46" x14ac:dyDescent="0.25">
      <c r="A124" s="72">
        <f t="shared" si="39"/>
        <v>107</v>
      </c>
      <c r="B124" s="73">
        <f t="shared" si="39"/>
        <v>107</v>
      </c>
      <c r="C124" s="73" t="s">
        <v>51</v>
      </c>
      <c r="D124" s="120" t="s">
        <v>119</v>
      </c>
      <c r="E124" s="121">
        <v>1974</v>
      </c>
      <c r="F124" s="121">
        <v>2013</v>
      </c>
      <c r="G124" s="121" t="s">
        <v>83</v>
      </c>
      <c r="H124" s="121">
        <v>4</v>
      </c>
      <c r="I124" s="121">
        <v>6</v>
      </c>
      <c r="J124" s="107">
        <v>5678.2</v>
      </c>
      <c r="K124" s="107">
        <v>4923.8</v>
      </c>
      <c r="L124" s="107">
        <v>69.900000000000006</v>
      </c>
      <c r="M124" s="122">
        <v>205</v>
      </c>
      <c r="N124" s="123">
        <f t="shared" si="36"/>
        <v>8373368.8852534005</v>
      </c>
      <c r="O124" s="107"/>
      <c r="P124" s="108"/>
      <c r="Q124" s="108"/>
      <c r="R124" s="108">
        <v>2055008.88</v>
      </c>
      <c r="S124" s="108">
        <f>+'Приложение №2'!E124-'Приложение №1'!P124-'Приложение №1'!Q124-'Приложение №1'!R124</f>
        <v>6318360.0052534007</v>
      </c>
      <c r="T124" s="107">
        <f>+'Приложение №2'!E124-'Приложение №1'!P124-'Приложение №1'!Q124-'Приложение №1'!R124-'Приложение №1'!S124</f>
        <v>0</v>
      </c>
      <c r="U124" s="108">
        <f t="shared" si="40"/>
        <v>1676.7865280760559</v>
      </c>
      <c r="V124" s="108">
        <f t="shared" si="40"/>
        <v>1676.7865280760559</v>
      </c>
      <c r="W124" s="135">
        <v>2022</v>
      </c>
      <c r="X124" s="28" t="e">
        <f>+#REF!-'[1]Приложение №1'!$P1492</f>
        <v>#REF!</v>
      </c>
      <c r="Z124" s="30">
        <f>SUM(AA124:AO124)</f>
        <v>16666252.090000002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/>
      <c r="AG124" s="26">
        <v>0</v>
      </c>
      <c r="AH124" s="26">
        <v>0</v>
      </c>
      <c r="AI124" s="26">
        <v>14678634.865746601</v>
      </c>
      <c r="AJ124" s="26">
        <v>0</v>
      </c>
      <c r="AK124" s="26">
        <v>0</v>
      </c>
      <c r="AL124" s="26">
        <v>0</v>
      </c>
      <c r="AM124" s="26">
        <v>1499962.6880999999</v>
      </c>
      <c r="AN124" s="31">
        <v>166662.5209</v>
      </c>
      <c r="AO124" s="32">
        <v>320992.01525340008</v>
      </c>
      <c r="AP124" s="77">
        <f>+N124-'Приложение №2'!E124</f>
        <v>0</v>
      </c>
      <c r="AQ124" s="1">
        <v>2280888.52</v>
      </c>
      <c r="AR124" s="1">
        <f>+(K124*10+L124*20)*12*0.85</f>
        <v>516487.2</v>
      </c>
      <c r="AS124" s="1">
        <f>+(K124*10+L124*20)*12*30</f>
        <v>18228960</v>
      </c>
      <c r="AT124" s="28">
        <f t="shared" si="27"/>
        <v>-11910599.994746599</v>
      </c>
    </row>
    <row r="125" spans="1:46" x14ac:dyDescent="0.25">
      <c r="A125" s="72">
        <f t="shared" si="39"/>
        <v>108</v>
      </c>
      <c r="B125" s="73">
        <f t="shared" si="39"/>
        <v>108</v>
      </c>
      <c r="C125" s="73" t="s">
        <v>51</v>
      </c>
      <c r="D125" s="120" t="s">
        <v>444</v>
      </c>
      <c r="E125" s="121">
        <v>1974</v>
      </c>
      <c r="F125" s="121">
        <v>2013</v>
      </c>
      <c r="G125" s="121" t="s">
        <v>83</v>
      </c>
      <c r="H125" s="121">
        <v>4</v>
      </c>
      <c r="I125" s="121">
        <v>6</v>
      </c>
      <c r="J125" s="107">
        <v>5563.5</v>
      </c>
      <c r="K125" s="107">
        <v>4878.8999999999996</v>
      </c>
      <c r="L125" s="107">
        <v>141.30000000000001</v>
      </c>
      <c r="M125" s="122">
        <v>202</v>
      </c>
      <c r="N125" s="123">
        <f t="shared" si="36"/>
        <v>8125441.1614079997</v>
      </c>
      <c r="O125" s="107"/>
      <c r="P125" s="109"/>
      <c r="Q125" s="108"/>
      <c r="R125" s="108">
        <v>2007826.6</v>
      </c>
      <c r="S125" s="108">
        <f>+'Приложение №2'!E125-'Приложение №1'!P125-'Приложение №1'!Q125-'Приложение №1'!R125</f>
        <v>6117614.5614080001</v>
      </c>
      <c r="T125" s="107">
        <f>+'Приложение №2'!E125-'Приложение №1'!P125-'Приложение №1'!Q125-'Приложение №1'!R125-'Приложение №1'!S125</f>
        <v>0</v>
      </c>
      <c r="U125" s="108">
        <f t="shared" si="40"/>
        <v>1618.5492931373251</v>
      </c>
      <c r="V125" s="108">
        <f t="shared" si="40"/>
        <v>1618.5492931373251</v>
      </c>
      <c r="W125" s="135">
        <v>2022</v>
      </c>
      <c r="X125" s="28" t="e">
        <f>+#REF!-'[1]Приложение №1'!$P1493</f>
        <v>#REF!</v>
      </c>
      <c r="Z125" s="30">
        <f>SUM(AA125:AO125)</f>
        <v>16283600.800000001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/>
      <c r="AG125" s="26">
        <v>0</v>
      </c>
      <c r="AH125" s="26">
        <v>0</v>
      </c>
      <c r="AI125" s="26">
        <v>14341618.568592001</v>
      </c>
      <c r="AJ125" s="26">
        <v>0</v>
      </c>
      <c r="AK125" s="26">
        <v>0</v>
      </c>
      <c r="AL125" s="26">
        <v>0</v>
      </c>
      <c r="AM125" s="26">
        <v>1465524.0719999999</v>
      </c>
      <c r="AN125" s="31">
        <v>162836.008</v>
      </c>
      <c r="AO125" s="32">
        <v>313622.15140800003</v>
      </c>
      <c r="AP125" s="77">
        <f>+N125-'Приложение №2'!E125</f>
        <v>0</v>
      </c>
      <c r="AQ125" s="1">
        <v>2384583.81</v>
      </c>
      <c r="AR125" s="1">
        <f>+(K125*10+L125*20)*12*0.85</f>
        <v>526473</v>
      </c>
      <c r="AS125" s="1">
        <f>+(K125*10+L125*20)*12*30</f>
        <v>18581400</v>
      </c>
      <c r="AT125" s="28">
        <f t="shared" si="27"/>
        <v>-12463785.438592</v>
      </c>
    </row>
    <row r="126" spans="1:46" x14ac:dyDescent="0.25">
      <c r="A126" s="72">
        <f t="shared" si="39"/>
        <v>109</v>
      </c>
      <c r="B126" s="73">
        <f t="shared" si="39"/>
        <v>109</v>
      </c>
      <c r="C126" s="73" t="s">
        <v>51</v>
      </c>
      <c r="D126" s="120" t="s">
        <v>445</v>
      </c>
      <c r="E126" s="121">
        <v>1968</v>
      </c>
      <c r="F126" s="121">
        <v>2013</v>
      </c>
      <c r="G126" s="121" t="s">
        <v>83</v>
      </c>
      <c r="H126" s="121">
        <v>4</v>
      </c>
      <c r="I126" s="121">
        <v>4</v>
      </c>
      <c r="J126" s="107">
        <v>1991.8</v>
      </c>
      <c r="K126" s="107">
        <v>1480.5</v>
      </c>
      <c r="L126" s="107">
        <v>509.2</v>
      </c>
      <c r="M126" s="122">
        <v>80</v>
      </c>
      <c r="N126" s="123">
        <f t="shared" si="36"/>
        <v>435458</v>
      </c>
      <c r="O126" s="107"/>
      <c r="P126" s="108">
        <v>185262.05</v>
      </c>
      <c r="Q126" s="108"/>
      <c r="R126" s="108">
        <v>250195.95</v>
      </c>
      <c r="S126" s="108"/>
      <c r="T126" s="107">
        <f>+'Приложение №2'!E126-'Приложение №1'!P126-'Приложение №1'!Q126-'Приложение №1'!R126-'Приложение №1'!S126</f>
        <v>0</v>
      </c>
      <c r="U126" s="108">
        <f t="shared" si="40"/>
        <v>218.85610896114991</v>
      </c>
      <c r="V126" s="108">
        <f t="shared" si="40"/>
        <v>218.85610896114991</v>
      </c>
      <c r="W126" s="135">
        <v>2022</v>
      </c>
      <c r="X126" s="28" t="e">
        <f>+#REF!-'[1]Приложение №1'!$P716</f>
        <v>#REF!</v>
      </c>
      <c r="Z126" s="30">
        <f>SUM(AA126:AO126)</f>
        <v>670440.25</v>
      </c>
      <c r="AA126" s="26">
        <v>0</v>
      </c>
      <c r="AB126" s="26">
        <v>0</v>
      </c>
      <c r="AC126" s="26">
        <v>0</v>
      </c>
      <c r="AD126" s="26">
        <v>0</v>
      </c>
      <c r="AE126" s="26">
        <v>475262.77</v>
      </c>
      <c r="AF126" s="26"/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178933.79</v>
      </c>
      <c r="AN126" s="31">
        <v>10000</v>
      </c>
      <c r="AO126" s="32">
        <v>6243.69</v>
      </c>
      <c r="AP126" s="77">
        <f>+N126-'Приложение №2'!E126</f>
        <v>0</v>
      </c>
      <c r="AQ126" s="1">
        <v>1179424.97</v>
      </c>
      <c r="AR126" s="1">
        <f>+(K126*10+L126*20)*12*0.85</f>
        <v>254887.8</v>
      </c>
      <c r="AS126" s="1">
        <f>+(K126*10+L126*20)*12*30</f>
        <v>8996040</v>
      </c>
      <c r="AT126" s="28">
        <f t="shared" si="27"/>
        <v>-8996040</v>
      </c>
    </row>
    <row r="127" spans="1:46" s="34" customFormat="1" x14ac:dyDescent="0.25">
      <c r="A127" s="72">
        <f t="shared" si="39"/>
        <v>110</v>
      </c>
      <c r="B127" s="73">
        <f t="shared" si="39"/>
        <v>110</v>
      </c>
      <c r="C127" s="73" t="s">
        <v>51</v>
      </c>
      <c r="D127" s="120" t="s">
        <v>446</v>
      </c>
      <c r="E127" s="121">
        <v>1973</v>
      </c>
      <c r="F127" s="121"/>
      <c r="G127" s="121" t="s">
        <v>43</v>
      </c>
      <c r="H127" s="121">
        <v>4</v>
      </c>
      <c r="I127" s="121">
        <v>4</v>
      </c>
      <c r="J127" s="107">
        <v>2965.1</v>
      </c>
      <c r="K127" s="107">
        <v>2671.7</v>
      </c>
      <c r="L127" s="107">
        <v>61.9</v>
      </c>
      <c r="M127" s="122">
        <v>112</v>
      </c>
      <c r="N127" s="123">
        <f t="shared" si="36"/>
        <v>1097504.5</v>
      </c>
      <c r="O127" s="107"/>
      <c r="P127" s="108"/>
      <c r="Q127" s="108"/>
      <c r="R127" s="108">
        <f>+'Приложение №2'!E127</f>
        <v>1097504.5</v>
      </c>
      <c r="S127" s="108"/>
      <c r="T127" s="107">
        <f>+'[7]Приложение №2'!E125-'[7]Приложение №1'!P125-'[7]Приложение №1'!Q125-'[7]Приложение №1'!R125-'[7]Приложение №1'!S125</f>
        <v>0</v>
      </c>
      <c r="U127" s="108">
        <f t="shared" si="40"/>
        <v>401.48686713491367</v>
      </c>
      <c r="V127" s="108">
        <f t="shared" si="40"/>
        <v>401.48686713491367</v>
      </c>
      <c r="W127" s="135">
        <v>2022</v>
      </c>
      <c r="AA127" s="35"/>
      <c r="AD127" s="35"/>
      <c r="AP127" s="77">
        <f>+N127-'Приложение №2'!E127</f>
        <v>0</v>
      </c>
      <c r="AQ127" s="23">
        <v>1534449.43</v>
      </c>
      <c r="AR127" s="1">
        <f>+(K127*10+L127*20)*12*0.85</f>
        <v>285141</v>
      </c>
      <c r="AS127" s="1">
        <f>+(K127*10+L127*20)*12*30</f>
        <v>10063800</v>
      </c>
      <c r="AT127" s="28">
        <f t="shared" si="27"/>
        <v>-10063800</v>
      </c>
    </row>
    <row r="128" spans="1:46" x14ac:dyDescent="0.25">
      <c r="A128" s="72">
        <f t="shared" si="39"/>
        <v>111</v>
      </c>
      <c r="B128" s="73">
        <f t="shared" si="39"/>
        <v>111</v>
      </c>
      <c r="C128" s="73" t="s">
        <v>51</v>
      </c>
      <c r="D128" s="120" t="s">
        <v>447</v>
      </c>
      <c r="E128" s="121">
        <v>1977</v>
      </c>
      <c r="F128" s="121">
        <v>2013</v>
      </c>
      <c r="G128" s="121" t="s">
        <v>43</v>
      </c>
      <c r="H128" s="121">
        <v>9</v>
      </c>
      <c r="I128" s="121">
        <v>1</v>
      </c>
      <c r="J128" s="107">
        <v>2365.9899999999998</v>
      </c>
      <c r="K128" s="107">
        <v>1903.5</v>
      </c>
      <c r="L128" s="107">
        <v>136</v>
      </c>
      <c r="M128" s="122">
        <v>70</v>
      </c>
      <c r="N128" s="123">
        <f t="shared" si="36"/>
        <v>678959.93939557998</v>
      </c>
      <c r="O128" s="107"/>
      <c r="P128" s="108"/>
      <c r="Q128" s="108"/>
      <c r="R128" s="108">
        <v>178776.52939558003</v>
      </c>
      <c r="S128" s="108">
        <f>+'Приложение №2'!E128-'Приложение №1'!P128-'Приложение №1'!Q128-'Приложение №1'!R128</f>
        <v>500183.40999999992</v>
      </c>
      <c r="T128" s="107">
        <f>+'Приложение №2'!E128-'Приложение №1'!P128-'Приложение №1'!Q128-'Приложение №1'!R128-'Приложение №1'!S128</f>
        <v>0</v>
      </c>
      <c r="U128" s="108">
        <f t="shared" si="40"/>
        <v>332.90509408952192</v>
      </c>
      <c r="V128" s="108">
        <f t="shared" si="40"/>
        <v>332.90509408952192</v>
      </c>
      <c r="W128" s="135">
        <v>2022</v>
      </c>
      <c r="X128" s="28" t="e">
        <f>+#REF!-'[1]Приложение №1'!$P721</f>
        <v>#REF!</v>
      </c>
      <c r="Z128" s="30">
        <f t="shared" ref="Z128:Z154" si="41">SUM(AA128:AO128)</f>
        <v>26854433.359999996</v>
      </c>
      <c r="AA128" s="26">
        <v>3681294.5645548799</v>
      </c>
      <c r="AB128" s="26">
        <v>2450899.70770344</v>
      </c>
      <c r="AC128" s="26">
        <v>0</v>
      </c>
      <c r="AD128" s="26">
        <v>1346040.4200070801</v>
      </c>
      <c r="AE128" s="26">
        <v>491527.90003842005</v>
      </c>
      <c r="AF128" s="26"/>
      <c r="AG128" s="26">
        <v>205504.30800059999</v>
      </c>
      <c r="AH128" s="26">
        <v>0</v>
      </c>
      <c r="AI128" s="26">
        <v>0</v>
      </c>
      <c r="AJ128" s="26">
        <v>0</v>
      </c>
      <c r="AK128" s="26">
        <v>15124062.916324738</v>
      </c>
      <c r="AL128" s="26">
        <v>0</v>
      </c>
      <c r="AM128" s="26">
        <v>2777050.0558000002</v>
      </c>
      <c r="AN128" s="31">
        <v>268544.33360000001</v>
      </c>
      <c r="AO128" s="32">
        <v>509509.15397084004</v>
      </c>
      <c r="AP128" s="77">
        <f>+N128-'Приложение №2'!E128</f>
        <v>0</v>
      </c>
      <c r="AQ128" s="1">
        <f>1333569.91-680973.2372-75663.69</f>
        <v>576932.98279999988</v>
      </c>
      <c r="AR128" s="1">
        <f>+(K128*13.29+L128*22.52)*12*0.85</f>
        <v>289274.397</v>
      </c>
      <c r="AS128" s="1">
        <f>+(K128*13.29+L128*22.52)*12*30-6485.14-39928.49</f>
        <v>10163270.969999999</v>
      </c>
      <c r="AT128" s="28">
        <f t="shared" si="27"/>
        <v>-9663087.5599999987</v>
      </c>
    </row>
    <row r="129" spans="1:51" x14ac:dyDescent="0.25">
      <c r="A129" s="72">
        <f t="shared" si="39"/>
        <v>112</v>
      </c>
      <c r="B129" s="73">
        <f t="shared" si="39"/>
        <v>112</v>
      </c>
      <c r="C129" s="73" t="s">
        <v>51</v>
      </c>
      <c r="D129" s="120" t="s">
        <v>448</v>
      </c>
      <c r="E129" s="121">
        <v>1964</v>
      </c>
      <c r="F129" s="121">
        <v>2016</v>
      </c>
      <c r="G129" s="121" t="s">
        <v>43</v>
      </c>
      <c r="H129" s="121">
        <v>4</v>
      </c>
      <c r="I129" s="121">
        <v>4</v>
      </c>
      <c r="J129" s="107">
        <v>2622.1</v>
      </c>
      <c r="K129" s="107">
        <v>2204.5</v>
      </c>
      <c r="L129" s="107">
        <v>225.2</v>
      </c>
      <c r="M129" s="122">
        <v>107</v>
      </c>
      <c r="N129" s="123">
        <f t="shared" si="36"/>
        <v>994811.65</v>
      </c>
      <c r="O129" s="107"/>
      <c r="P129" s="108">
        <v>613613.93000000005</v>
      </c>
      <c r="Q129" s="108"/>
      <c r="R129" s="108">
        <v>381197.72</v>
      </c>
      <c r="S129" s="108">
        <f>+'Приложение №2'!E129-'Приложение №1'!P129-'Приложение №1'!R129</f>
        <v>0</v>
      </c>
      <c r="T129" s="107">
        <f>+'Приложение №2'!E129-'Приложение №1'!P129-'Приложение №1'!Q129-'Приложение №1'!R129-'Приложение №1'!S129</f>
        <v>0</v>
      </c>
      <c r="U129" s="108">
        <f t="shared" si="40"/>
        <v>409.4380581964852</v>
      </c>
      <c r="V129" s="108">
        <f t="shared" si="40"/>
        <v>409.4380581964852</v>
      </c>
      <c r="W129" s="135">
        <v>2022</v>
      </c>
      <c r="X129" s="28" t="e">
        <f>+#REF!-'[1]Приложение №1'!$P723</f>
        <v>#REF!</v>
      </c>
      <c r="Z129" s="30">
        <f t="shared" si="41"/>
        <v>1186752.2</v>
      </c>
      <c r="AA129" s="26">
        <v>0</v>
      </c>
      <c r="AB129" s="26">
        <v>0</v>
      </c>
      <c r="AC129" s="26">
        <v>0</v>
      </c>
      <c r="AD129" s="26">
        <v>0</v>
      </c>
      <c r="AE129" s="26">
        <v>994811.73</v>
      </c>
      <c r="AF129" s="26"/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176245.47</v>
      </c>
      <c r="AN129" s="31">
        <v>10000</v>
      </c>
      <c r="AO129" s="32">
        <v>5695</v>
      </c>
      <c r="AP129" s="77">
        <f>+N129-'Приложение №2'!E129</f>
        <v>0</v>
      </c>
      <c r="AQ129" s="1">
        <v>1171903.8500000001</v>
      </c>
      <c r="AR129" s="1">
        <f>+(K129*10+L129*20)*12*0.85</f>
        <v>270799.8</v>
      </c>
      <c r="AS129" s="1">
        <f>+(K129*10+L129*20)*12*30</f>
        <v>9557640</v>
      </c>
      <c r="AT129" s="28">
        <f t="shared" si="27"/>
        <v>-9557640</v>
      </c>
    </row>
    <row r="130" spans="1:51" x14ac:dyDescent="0.25">
      <c r="A130" s="72">
        <f t="shared" si="39"/>
        <v>113</v>
      </c>
      <c r="B130" s="73">
        <f t="shared" si="39"/>
        <v>113</v>
      </c>
      <c r="C130" s="73" t="s">
        <v>51</v>
      </c>
      <c r="D130" s="120" t="s">
        <v>449</v>
      </c>
      <c r="E130" s="121">
        <v>1973</v>
      </c>
      <c r="F130" s="121">
        <v>2013</v>
      </c>
      <c r="G130" s="121" t="s">
        <v>43</v>
      </c>
      <c r="H130" s="121">
        <v>5</v>
      </c>
      <c r="I130" s="121">
        <v>8</v>
      </c>
      <c r="J130" s="107">
        <v>6624.9</v>
      </c>
      <c r="K130" s="107">
        <v>5826</v>
      </c>
      <c r="L130" s="107">
        <v>239.3</v>
      </c>
      <c r="M130" s="122">
        <v>272</v>
      </c>
      <c r="N130" s="123">
        <f t="shared" si="36"/>
        <v>2196546.3422400001</v>
      </c>
      <c r="O130" s="107"/>
      <c r="P130" s="108"/>
      <c r="Q130" s="108"/>
      <c r="R130" s="108">
        <f>+'Приложение №2'!E130</f>
        <v>2196546.3422400001</v>
      </c>
      <c r="S130" s="108">
        <f>+'Приложение №2'!E130-'Приложение №1'!R130</f>
        <v>0</v>
      </c>
      <c r="T130" s="107">
        <f>+'Приложение №2'!E130-'Приложение №1'!P130-'Приложение №1'!Q130-'Приложение №1'!R130-'Приложение №1'!S130</f>
        <v>0</v>
      </c>
      <c r="U130" s="108">
        <f t="shared" si="40"/>
        <v>362.14966155672431</v>
      </c>
      <c r="V130" s="108">
        <f t="shared" si="40"/>
        <v>362.14966155672431</v>
      </c>
      <c r="W130" s="135">
        <v>2022</v>
      </c>
      <c r="X130" s="28" t="e">
        <f>+#REF!-'[1]Приложение №1'!$P433</f>
        <v>#REF!</v>
      </c>
      <c r="Z130" s="30">
        <f t="shared" si="41"/>
        <v>68280809.790000007</v>
      </c>
      <c r="AA130" s="26">
        <v>14487752.111381641</v>
      </c>
      <c r="AB130" s="26">
        <v>5162581.6814224795</v>
      </c>
      <c r="AC130" s="26">
        <v>5393749.1598622799</v>
      </c>
      <c r="AD130" s="26">
        <v>3376828.00437696</v>
      </c>
      <c r="AE130" s="26">
        <v>2066066.6377251605</v>
      </c>
      <c r="AF130" s="26"/>
      <c r="AG130" s="26">
        <v>0</v>
      </c>
      <c r="AH130" s="26">
        <v>0</v>
      </c>
      <c r="AI130" s="26">
        <v>0</v>
      </c>
      <c r="AJ130" s="26">
        <v>0</v>
      </c>
      <c r="AK130" s="26">
        <v>13751557.888197359</v>
      </c>
      <c r="AL130" s="26">
        <v>14832664.840462981</v>
      </c>
      <c r="AM130" s="26">
        <v>7235033.8570000008</v>
      </c>
      <c r="AN130" s="31">
        <v>682808.09790000005</v>
      </c>
      <c r="AO130" s="32">
        <v>1291767.5116711401</v>
      </c>
      <c r="AP130" s="77">
        <f>+N130-'Приложение №2'!E130</f>
        <v>0</v>
      </c>
      <c r="AQ130" s="1">
        <f>3058321.2-217412.18</f>
        <v>2840909.02</v>
      </c>
      <c r="AR130" s="1">
        <f>+(K130*10+L130*20)*12*0.85</f>
        <v>643069.19999999995</v>
      </c>
      <c r="AS130" s="1">
        <f>+(K130*10+L130*20)*12*30-1066942.82</f>
        <v>21629617.18</v>
      </c>
      <c r="AT130" s="28">
        <f t="shared" si="27"/>
        <v>-21629617.18</v>
      </c>
    </row>
    <row r="131" spans="1:51" x14ac:dyDescent="0.25">
      <c r="A131" s="72">
        <f t="shared" ref="A131:B146" si="42">+A130+1</f>
        <v>114</v>
      </c>
      <c r="B131" s="73">
        <f t="shared" si="42"/>
        <v>114</v>
      </c>
      <c r="C131" s="73" t="s">
        <v>51</v>
      </c>
      <c r="D131" s="120" t="s">
        <v>450</v>
      </c>
      <c r="E131" s="121">
        <v>1975</v>
      </c>
      <c r="F131" s="121">
        <v>2013</v>
      </c>
      <c r="G131" s="121" t="s">
        <v>83</v>
      </c>
      <c r="H131" s="121">
        <v>4</v>
      </c>
      <c r="I131" s="121">
        <v>6</v>
      </c>
      <c r="J131" s="107">
        <v>5531.3</v>
      </c>
      <c r="K131" s="107">
        <v>4842.7</v>
      </c>
      <c r="L131" s="107">
        <v>189.7</v>
      </c>
      <c r="M131" s="122">
        <v>224</v>
      </c>
      <c r="N131" s="123">
        <f t="shared" si="36"/>
        <v>22252018.226827998</v>
      </c>
      <c r="O131" s="107"/>
      <c r="P131" s="108"/>
      <c r="Q131" s="108"/>
      <c r="R131" s="108">
        <f>+AQ131+AR131</f>
        <v>437084.14999999967</v>
      </c>
      <c r="S131" s="108">
        <f>+AS131</f>
        <v>0</v>
      </c>
      <c r="T131" s="108">
        <f>+'Приложение №2'!E131-'Приложение №1'!P131-'Приложение №1'!R131-'Приложение №1'!S131</f>
        <v>21814934.076827999</v>
      </c>
      <c r="U131" s="108">
        <f>N131/K131</f>
        <v>4594.961122272286</v>
      </c>
      <c r="V131" s="108">
        <v>1339.2830200640001</v>
      </c>
      <c r="W131" s="135">
        <v>2022</v>
      </c>
      <c r="X131" s="28" t="e">
        <f>+#REF!-'[1]Приложение №1'!$P1452</f>
        <v>#REF!</v>
      </c>
      <c r="Z131" s="30">
        <f t="shared" si="41"/>
        <v>87511152.000000015</v>
      </c>
      <c r="AA131" s="26">
        <v>8013494.3878080007</v>
      </c>
      <c r="AB131" s="26">
        <v>4634422.8779520001</v>
      </c>
      <c r="AC131" s="26">
        <v>4898928.1239359993</v>
      </c>
      <c r="AD131" s="26">
        <v>3735474.3417600002</v>
      </c>
      <c r="AE131" s="26">
        <v>1492245.5325120001</v>
      </c>
      <c r="AF131" s="26"/>
      <c r="AG131" s="26">
        <v>398188.42560000002</v>
      </c>
      <c r="AH131" s="26">
        <v>0</v>
      </c>
      <c r="AI131" s="26">
        <v>14265240.0912</v>
      </c>
      <c r="AJ131" s="26">
        <v>0</v>
      </c>
      <c r="AK131" s="26">
        <v>27696044.559456002</v>
      </c>
      <c r="AL131" s="26">
        <v>10892499.105599999</v>
      </c>
      <c r="AM131" s="26">
        <v>8946956.6400000006</v>
      </c>
      <c r="AN131" s="31">
        <v>875111.52</v>
      </c>
      <c r="AO131" s="32">
        <v>1662546.394176</v>
      </c>
      <c r="AP131" s="77">
        <f>+N131-'Приложение №2'!E131</f>
        <v>0</v>
      </c>
      <c r="AQ131" s="28">
        <f>2505054.36-R346</f>
        <v>-95570.050000000279</v>
      </c>
      <c r="AR131" s="1">
        <f>+(K131*10+L131*20)*12*0.85</f>
        <v>532654.19999999995</v>
      </c>
      <c r="AS131" s="1">
        <f>+(K131*10+L131*20)*12*30-S346</f>
        <v>0</v>
      </c>
      <c r="AT131" s="28">
        <f t="shared" si="27"/>
        <v>0</v>
      </c>
    </row>
    <row r="132" spans="1:51" x14ac:dyDescent="0.25">
      <c r="A132" s="72">
        <f t="shared" si="42"/>
        <v>115</v>
      </c>
      <c r="B132" s="73">
        <f t="shared" si="42"/>
        <v>115</v>
      </c>
      <c r="C132" s="73" t="s">
        <v>51</v>
      </c>
      <c r="D132" s="120" t="s">
        <v>451</v>
      </c>
      <c r="E132" s="121">
        <v>1974</v>
      </c>
      <c r="F132" s="121">
        <v>2013</v>
      </c>
      <c r="G132" s="121" t="s">
        <v>83</v>
      </c>
      <c r="H132" s="121">
        <v>4</v>
      </c>
      <c r="I132" s="121">
        <v>4</v>
      </c>
      <c r="J132" s="107">
        <v>3940.9</v>
      </c>
      <c r="K132" s="107">
        <v>3373.8</v>
      </c>
      <c r="L132" s="107">
        <v>212.7</v>
      </c>
      <c r="M132" s="122">
        <v>140</v>
      </c>
      <c r="N132" s="123">
        <f>+P114+Q132+R132+S132+T132</f>
        <v>24178412.226240739</v>
      </c>
      <c r="O132" s="107"/>
      <c r="P132" s="111"/>
      <c r="Q132" s="108"/>
      <c r="R132" s="108">
        <f>+AQ132+AR132</f>
        <v>1982331.96</v>
      </c>
      <c r="S132" s="108">
        <f>+'Приложение №2'!E132-'Приложение №1'!R132-'Приложение №1'!T132-P114</f>
        <v>10542328.346240738</v>
      </c>
      <c r="T132" s="107">
        <v>11653751.92</v>
      </c>
      <c r="U132" s="108">
        <f t="shared" ref="U132:V154" si="43">$N132/($K132+$L132)</f>
        <v>6741.506266901084</v>
      </c>
      <c r="V132" s="108">
        <f t="shared" si="43"/>
        <v>6741.506266901084</v>
      </c>
      <c r="W132" s="135">
        <v>2022</v>
      </c>
      <c r="X132" s="28" t="e">
        <f>+#REF!-'[1]Приложение №1'!$P1108</f>
        <v>#REF!</v>
      </c>
      <c r="Z132" s="30">
        <f t="shared" si="41"/>
        <v>62533714.207893997</v>
      </c>
      <c r="AA132" s="26">
        <v>6056878.3300000001</v>
      </c>
      <c r="AB132" s="26">
        <v>3324136.3562038802</v>
      </c>
      <c r="AC132" s="26">
        <v>3513858.2605085401</v>
      </c>
      <c r="AD132" s="26">
        <v>2679346.7940094802</v>
      </c>
      <c r="AE132" s="26">
        <v>1070344.1973180603</v>
      </c>
      <c r="AF132" s="26"/>
      <c r="AG132" s="26">
        <v>285608.94385380001</v>
      </c>
      <c r="AH132" s="26">
        <v>0</v>
      </c>
      <c r="AI132" s="26">
        <v>10232040.652318798</v>
      </c>
      <c r="AJ132" s="26">
        <v>0</v>
      </c>
      <c r="AK132" s="26">
        <v>19865564.963811003</v>
      </c>
      <c r="AL132" s="26">
        <v>7812871.9105562996</v>
      </c>
      <c r="AM132" s="26">
        <v>5963728.8811999997</v>
      </c>
      <c r="AN132" s="31">
        <v>570673.40870000003</v>
      </c>
      <c r="AO132" s="32">
        <v>1158661.5094141401</v>
      </c>
      <c r="AP132" s="77">
        <f>+N132-'Приложение №2'!E132</f>
        <v>0</v>
      </c>
      <c r="AQ132" s="1">
        <f>1707386.79-112573.23</f>
        <v>1594813.56</v>
      </c>
      <c r="AR132" s="1">
        <f>+(K132*10+L132*20)*12*0.85</f>
        <v>387518.39999999997</v>
      </c>
      <c r="AS132" s="1">
        <f>+(K132*10+L132*20)*12*30-810211.65</f>
        <v>12866908.35</v>
      </c>
      <c r="AT132" s="28">
        <f t="shared" si="27"/>
        <v>-2324580.0037592612</v>
      </c>
    </row>
    <row r="133" spans="1:51" x14ac:dyDescent="0.25">
      <c r="A133" s="72">
        <f t="shared" si="42"/>
        <v>116</v>
      </c>
      <c r="B133" s="73">
        <f t="shared" si="42"/>
        <v>116</v>
      </c>
      <c r="C133" s="73" t="s">
        <v>51</v>
      </c>
      <c r="D133" s="120" t="s">
        <v>452</v>
      </c>
      <c r="E133" s="121">
        <v>1977</v>
      </c>
      <c r="F133" s="121">
        <v>2013</v>
      </c>
      <c r="G133" s="121" t="s">
        <v>43</v>
      </c>
      <c r="H133" s="121">
        <v>9</v>
      </c>
      <c r="I133" s="121">
        <v>1</v>
      </c>
      <c r="J133" s="107">
        <v>2362.6</v>
      </c>
      <c r="K133" s="107">
        <v>1902.4</v>
      </c>
      <c r="L133" s="107">
        <v>195.5</v>
      </c>
      <c r="M133" s="122">
        <v>72</v>
      </c>
      <c r="N133" s="123">
        <f t="shared" ref="N133:N163" si="44">+P133+Q133+R133+S133+T133</f>
        <v>1817380.4565099401</v>
      </c>
      <c r="O133" s="107"/>
      <c r="P133" s="108"/>
      <c r="Q133" s="108"/>
      <c r="R133" s="108"/>
      <c r="S133" s="108">
        <f>+'Приложение №2'!E133-'Приложение №1'!P133-'Приложение №1'!Q133-'Приложение №1'!R133</f>
        <v>1817380.4565099401</v>
      </c>
      <c r="T133" s="107">
        <f>+'Приложение №2'!E133-'Приложение №1'!P133-'Приложение №1'!Q133-'Приложение №1'!R133-'Приложение №1'!S133</f>
        <v>0</v>
      </c>
      <c r="U133" s="108">
        <f t="shared" si="43"/>
        <v>866.28555055528864</v>
      </c>
      <c r="V133" s="108">
        <f t="shared" si="43"/>
        <v>866.28555055528864</v>
      </c>
      <c r="W133" s="135">
        <v>2022</v>
      </c>
      <c r="X133" s="28" t="e">
        <f>+#REF!-'[1]Приложение №1'!$P725</f>
        <v>#REF!</v>
      </c>
      <c r="Z133" s="30">
        <f t="shared" si="41"/>
        <v>28501175.670387998</v>
      </c>
      <c r="AA133" s="26">
        <v>3719699.05</v>
      </c>
      <c r="AB133" s="26">
        <v>2447938.8995804396</v>
      </c>
      <c r="AC133" s="26">
        <v>1490138.3398477801</v>
      </c>
      <c r="AD133" s="26">
        <v>1344414.3471276001</v>
      </c>
      <c r="AE133" s="26">
        <v>490934.10601116001</v>
      </c>
      <c r="AF133" s="26"/>
      <c r="AG133" s="26">
        <v>205256.04442223997</v>
      </c>
      <c r="AH133" s="26">
        <v>0</v>
      </c>
      <c r="AI133" s="26">
        <v>0</v>
      </c>
      <c r="AJ133" s="26">
        <v>0</v>
      </c>
      <c r="AK133" s="26">
        <v>15105792.339437097</v>
      </c>
      <c r="AL133" s="26">
        <v>0</v>
      </c>
      <c r="AM133" s="26">
        <v>2953956.3437999999</v>
      </c>
      <c r="AN133" s="31">
        <v>246262.91500000001</v>
      </c>
      <c r="AO133" s="32">
        <v>496783.28516168008</v>
      </c>
      <c r="AP133" s="77">
        <f>+N133-'Приложение №2'!E133</f>
        <v>0</v>
      </c>
      <c r="AQ133" s="1">
        <f>1288619.08-658887.88</f>
        <v>629731.20000000007</v>
      </c>
      <c r="AR133" s="1">
        <f>+(K133*13.29+L133*22.52)*12*0.85</f>
        <v>302792.67119999998</v>
      </c>
      <c r="AS133" s="1">
        <f>+(K133*13.29+L133*22.52)*12*30-8648.871</f>
        <v>10678151.289000001</v>
      </c>
      <c r="AT133" s="28">
        <f t="shared" si="27"/>
        <v>-8860770.8324900605</v>
      </c>
    </row>
    <row r="134" spans="1:51" x14ac:dyDescent="0.25">
      <c r="A134" s="72">
        <f t="shared" si="42"/>
        <v>117</v>
      </c>
      <c r="B134" s="73">
        <f t="shared" si="42"/>
        <v>117</v>
      </c>
      <c r="C134" s="73" t="s">
        <v>44</v>
      </c>
      <c r="D134" s="120" t="s">
        <v>561</v>
      </c>
      <c r="E134" s="121">
        <v>1979</v>
      </c>
      <c r="F134" s="121">
        <v>1979</v>
      </c>
      <c r="G134" s="121" t="s">
        <v>43</v>
      </c>
      <c r="H134" s="121">
        <v>4</v>
      </c>
      <c r="I134" s="121">
        <v>6</v>
      </c>
      <c r="J134" s="107">
        <v>3867.8</v>
      </c>
      <c r="K134" s="107">
        <v>3539.7</v>
      </c>
      <c r="L134" s="107">
        <v>0</v>
      </c>
      <c r="M134" s="122">
        <v>193</v>
      </c>
      <c r="N134" s="123">
        <f t="shared" si="44"/>
        <v>9785218.7020976003</v>
      </c>
      <c r="O134" s="107"/>
      <c r="P134" s="108">
        <v>7358449.5100000007</v>
      </c>
      <c r="Q134" s="108"/>
      <c r="R134" s="108"/>
      <c r="S134" s="108">
        <f>+'Приложение №2'!E134-'Приложение №1'!R134-P134</f>
        <v>2426769.1920975996</v>
      </c>
      <c r="T134" s="107">
        <f>+'Приложение №2'!E134-'Приложение №1'!P134-'Приложение №1'!Q134-'Приложение №1'!R134-'Приложение №1'!S134</f>
        <v>0</v>
      </c>
      <c r="U134" s="108">
        <f t="shared" si="43"/>
        <v>2764.4203469496288</v>
      </c>
      <c r="V134" s="108">
        <f t="shared" si="43"/>
        <v>2764.4203469496288</v>
      </c>
      <c r="W134" s="135">
        <v>2022</v>
      </c>
      <c r="X134" s="28" t="e">
        <f>+#REF!-'[1]Приложение №1'!$P1498</f>
        <v>#REF!</v>
      </c>
      <c r="Z134" s="30">
        <f t="shared" si="41"/>
        <v>36672038.07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/>
      <c r="AG134" s="26">
        <v>0</v>
      </c>
      <c r="AH134" s="26">
        <v>0</v>
      </c>
      <c r="AI134" s="26">
        <v>15443839.101902403</v>
      </c>
      <c r="AJ134" s="26">
        <v>0</v>
      </c>
      <c r="AK134" s="26">
        <v>8018512.7549818195</v>
      </c>
      <c r="AL134" s="26">
        <v>8648904.6005779207</v>
      </c>
      <c r="AM134" s="26">
        <v>3491853.0894000004</v>
      </c>
      <c r="AN134" s="31">
        <v>366720.3807000001</v>
      </c>
      <c r="AO134" s="32">
        <v>702208.14243786025</v>
      </c>
      <c r="AP134" s="77">
        <f>+N134-'Приложение №2'!E134</f>
        <v>0</v>
      </c>
      <c r="AQ134" s="1">
        <v>1735682.5</v>
      </c>
      <c r="AR134" s="1">
        <f t="shared" ref="AR134:AR153" si="45">+(K134*10+L134*20)*12*0.85</f>
        <v>361049.39999999997</v>
      </c>
      <c r="AS134" s="1">
        <f>+(K134*10+L134*20)*12*30</f>
        <v>12742920</v>
      </c>
      <c r="AT134" s="28">
        <f t="shared" si="27"/>
        <v>-10316150.807902399</v>
      </c>
    </row>
    <row r="135" spans="1:51" x14ac:dyDescent="0.25">
      <c r="A135" s="72">
        <f t="shared" si="42"/>
        <v>118</v>
      </c>
      <c r="B135" s="73">
        <f t="shared" si="42"/>
        <v>118</v>
      </c>
      <c r="C135" s="73" t="s">
        <v>44</v>
      </c>
      <c r="D135" s="120" t="s">
        <v>562</v>
      </c>
      <c r="E135" s="121">
        <v>1966</v>
      </c>
      <c r="F135" s="121">
        <v>1966</v>
      </c>
      <c r="G135" s="121" t="s">
        <v>43</v>
      </c>
      <c r="H135" s="121">
        <v>4</v>
      </c>
      <c r="I135" s="121">
        <v>2</v>
      </c>
      <c r="J135" s="107">
        <v>1327.2</v>
      </c>
      <c r="K135" s="107">
        <v>1234.5999999999999</v>
      </c>
      <c r="L135" s="107">
        <v>0</v>
      </c>
      <c r="M135" s="122">
        <v>61</v>
      </c>
      <c r="N135" s="123">
        <f t="shared" si="44"/>
        <v>459932.97</v>
      </c>
      <c r="O135" s="107"/>
      <c r="P135" s="108">
        <v>226913.39</v>
      </c>
      <c r="Q135" s="108"/>
      <c r="R135" s="108">
        <v>192796.30000000002</v>
      </c>
      <c r="S135" s="108">
        <f>+'Приложение №2'!E135-'Приложение №1'!P135-'Приложение №1'!R135</f>
        <v>40223.279999999941</v>
      </c>
      <c r="T135" s="107">
        <f>+'Приложение №2'!E135-'Приложение №1'!P135-'Приложение №1'!Q135-'Приложение №1'!R135-'Приложение №1'!S135</f>
        <v>0</v>
      </c>
      <c r="U135" s="108">
        <f t="shared" si="43"/>
        <v>372.53601976348614</v>
      </c>
      <c r="V135" s="108">
        <f t="shared" si="43"/>
        <v>372.53601976348614</v>
      </c>
      <c r="W135" s="135">
        <v>2022</v>
      </c>
      <c r="X135" s="28" t="e">
        <f>+#REF!-'[1]Приложение №1'!$P727</f>
        <v>#REF!</v>
      </c>
      <c r="Z135" s="30">
        <f t="shared" si="41"/>
        <v>621576.65</v>
      </c>
      <c r="AA135" s="26">
        <v>0</v>
      </c>
      <c r="AB135" s="26">
        <v>0</v>
      </c>
      <c r="AC135" s="26">
        <v>0</v>
      </c>
      <c r="AD135" s="26">
        <v>0</v>
      </c>
      <c r="AE135" s="26">
        <v>419709.68768610002</v>
      </c>
      <c r="AF135" s="26"/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186472.995</v>
      </c>
      <c r="AN135" s="31">
        <v>6215.7665000000006</v>
      </c>
      <c r="AO135" s="32">
        <v>9178.2008139000009</v>
      </c>
      <c r="AP135" s="77">
        <f>+N135-'Приложение №2'!E135</f>
        <v>0</v>
      </c>
      <c r="AQ135" s="1">
        <v>512184.69</v>
      </c>
      <c r="AR135" s="1">
        <f t="shared" si="45"/>
        <v>125929.2</v>
      </c>
      <c r="AS135" s="1">
        <f>+(K135*10+L135*20)*12*30</f>
        <v>4444560</v>
      </c>
      <c r="AT135" s="28">
        <f t="shared" si="27"/>
        <v>-4404336.72</v>
      </c>
    </row>
    <row r="136" spans="1:51" ht="14.25" customHeight="1" x14ac:dyDescent="0.25">
      <c r="A136" s="72">
        <f t="shared" si="42"/>
        <v>119</v>
      </c>
      <c r="B136" s="73">
        <f t="shared" si="42"/>
        <v>119</v>
      </c>
      <c r="C136" s="73" t="s">
        <v>44</v>
      </c>
      <c r="D136" s="120" t="s">
        <v>563</v>
      </c>
      <c r="E136" s="121">
        <v>1969</v>
      </c>
      <c r="F136" s="121">
        <v>2013</v>
      </c>
      <c r="G136" s="121" t="s">
        <v>43</v>
      </c>
      <c r="H136" s="121">
        <v>4</v>
      </c>
      <c r="I136" s="121">
        <v>4</v>
      </c>
      <c r="J136" s="107">
        <v>3016.9</v>
      </c>
      <c r="K136" s="107">
        <v>2778.3</v>
      </c>
      <c r="L136" s="107">
        <v>0</v>
      </c>
      <c r="M136" s="122">
        <v>148</v>
      </c>
      <c r="N136" s="133">
        <f t="shared" si="44"/>
        <v>7411233.7756144591</v>
      </c>
      <c r="O136" s="107"/>
      <c r="P136" s="108">
        <v>1196060.5199999998</v>
      </c>
      <c r="Q136" s="108"/>
      <c r="R136" s="108">
        <f>+AQ136+AR136</f>
        <v>847797.20000000007</v>
      </c>
      <c r="S136" s="108">
        <f>+AS136</f>
        <v>2164833.5300000003</v>
      </c>
      <c r="T136" s="108">
        <f>+'Приложение №2'!E136-'Приложение №1'!P136-'Приложение №1'!Q136-'Приложение №1'!R136-'Приложение №1'!S136</f>
        <v>3202542.5256144591</v>
      </c>
      <c r="U136" s="107">
        <f t="shared" si="43"/>
        <v>2667.5426612008991</v>
      </c>
      <c r="V136" s="107">
        <f t="shared" si="43"/>
        <v>2667.5426612008991</v>
      </c>
      <c r="W136" s="135">
        <v>2022</v>
      </c>
      <c r="X136" s="28" t="e">
        <f>+#REF!-'[1]Приложение №1'!$P1314</f>
        <v>#REF!</v>
      </c>
      <c r="Y136" s="1" t="s">
        <v>86</v>
      </c>
      <c r="Z136" s="30">
        <f t="shared" si="41"/>
        <v>43468971.049999997</v>
      </c>
      <c r="AA136" s="26">
        <v>6634698.5656060204</v>
      </c>
      <c r="AB136" s="26">
        <v>2364215.8595970604</v>
      </c>
      <c r="AC136" s="26">
        <v>2470079.5170193799</v>
      </c>
      <c r="AD136" s="26">
        <v>0</v>
      </c>
      <c r="AE136" s="26">
        <v>946159.85291436012</v>
      </c>
      <c r="AF136" s="26"/>
      <c r="AG136" s="26">
        <v>254591.55199295998</v>
      </c>
      <c r="AH136" s="26">
        <v>0</v>
      </c>
      <c r="AI136" s="26">
        <v>12129238.4675742</v>
      </c>
      <c r="AJ136" s="26">
        <v>0</v>
      </c>
      <c r="AK136" s="26">
        <v>6297556.7640778795</v>
      </c>
      <c r="AL136" s="26">
        <v>6792652.1243855394</v>
      </c>
      <c r="AM136" s="26">
        <v>4316528.7305000005</v>
      </c>
      <c r="AN136" s="31">
        <v>434689.71049999999</v>
      </c>
      <c r="AO136" s="32">
        <v>828559.90583259996</v>
      </c>
      <c r="AP136" s="77">
        <f>+N136-'Приложение №2'!E136</f>
        <v>0</v>
      </c>
      <c r="AQ136" s="1">
        <f>1200544.79-636134.19</f>
        <v>564410.60000000009</v>
      </c>
      <c r="AR136" s="1">
        <f t="shared" si="45"/>
        <v>283386.59999999998</v>
      </c>
      <c r="AS136" s="1">
        <f>+(K136*10+L136*20)*12*30-7837046.47</f>
        <v>2164833.5300000003</v>
      </c>
      <c r="AT136" s="28">
        <f t="shared" si="27"/>
        <v>0</v>
      </c>
    </row>
    <row r="137" spans="1:51" x14ac:dyDescent="0.25">
      <c r="A137" s="72">
        <f t="shared" si="42"/>
        <v>120</v>
      </c>
      <c r="B137" s="73">
        <f t="shared" si="42"/>
        <v>120</v>
      </c>
      <c r="C137" s="73" t="s">
        <v>44</v>
      </c>
      <c r="D137" s="120" t="s">
        <v>564</v>
      </c>
      <c r="E137" s="121">
        <v>1971</v>
      </c>
      <c r="F137" s="121">
        <v>1971</v>
      </c>
      <c r="G137" s="121" t="s">
        <v>43</v>
      </c>
      <c r="H137" s="121">
        <v>4</v>
      </c>
      <c r="I137" s="121">
        <v>4</v>
      </c>
      <c r="J137" s="107">
        <v>2851.3</v>
      </c>
      <c r="K137" s="107">
        <v>2629.3</v>
      </c>
      <c r="L137" s="107">
        <v>0</v>
      </c>
      <c r="M137" s="122">
        <v>126</v>
      </c>
      <c r="N137" s="123">
        <f t="shared" si="44"/>
        <v>1318598.3729000001</v>
      </c>
      <c r="O137" s="107"/>
      <c r="P137" s="108"/>
      <c r="Q137" s="108"/>
      <c r="R137" s="108">
        <f>+'Приложение №2'!E137</f>
        <v>1318598.3729000001</v>
      </c>
      <c r="S137" s="108">
        <f>+'Приложение №2'!E137-'Приложение №1'!R137</f>
        <v>0</v>
      </c>
      <c r="T137" s="107">
        <f>+'Приложение №2'!E137-'Приложение №1'!P137-'Приложение №1'!Q137-'Приложение №1'!R137-'Приложение №1'!S137</f>
        <v>0</v>
      </c>
      <c r="U137" s="108">
        <f t="shared" si="43"/>
        <v>501.50168215874947</v>
      </c>
      <c r="V137" s="108">
        <f t="shared" si="43"/>
        <v>501.50168215874947</v>
      </c>
      <c r="W137" s="135">
        <v>2022</v>
      </c>
      <c r="X137" s="28" t="e">
        <f>+#REF!-'[1]Приложение №1'!$P436</f>
        <v>#REF!</v>
      </c>
      <c r="Z137" s="30">
        <f t="shared" si="41"/>
        <v>6580564.0300000003</v>
      </c>
      <c r="AA137" s="26">
        <v>0</v>
      </c>
      <c r="AB137" s="26">
        <v>2237961.00035928</v>
      </c>
      <c r="AC137" s="26">
        <v>2338171.2866580603</v>
      </c>
      <c r="AD137" s="26">
        <v>0</v>
      </c>
      <c r="AE137" s="26">
        <v>895632.61937688012</v>
      </c>
      <c r="AF137" s="26"/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923337.06700000004</v>
      </c>
      <c r="AN137" s="31">
        <v>65805.640299999999</v>
      </c>
      <c r="AO137" s="32">
        <v>119656.41630578002</v>
      </c>
      <c r="AP137" s="77">
        <f>+N137-'Приложение №2'!E137</f>
        <v>0</v>
      </c>
      <c r="AQ137" s="1">
        <v>1216435.44</v>
      </c>
      <c r="AR137" s="1">
        <f t="shared" si="45"/>
        <v>268188.59999999998</v>
      </c>
      <c r="AS137" s="1">
        <f>+(K137*10+L137*20)*12*30</f>
        <v>9465480</v>
      </c>
      <c r="AT137" s="28">
        <f t="shared" si="27"/>
        <v>-9465480</v>
      </c>
    </row>
    <row r="138" spans="1:51" x14ac:dyDescent="0.25">
      <c r="A138" s="72">
        <f t="shared" si="42"/>
        <v>121</v>
      </c>
      <c r="B138" s="73">
        <f t="shared" si="42"/>
        <v>121</v>
      </c>
      <c r="C138" s="73" t="s">
        <v>44</v>
      </c>
      <c r="D138" s="120" t="s">
        <v>565</v>
      </c>
      <c r="E138" s="121">
        <v>1962</v>
      </c>
      <c r="F138" s="121">
        <v>1962</v>
      </c>
      <c r="G138" s="121" t="s">
        <v>43</v>
      </c>
      <c r="H138" s="121">
        <v>2</v>
      </c>
      <c r="I138" s="121">
        <v>1</v>
      </c>
      <c r="J138" s="107">
        <v>618.70000000000005</v>
      </c>
      <c r="K138" s="107">
        <v>460.5</v>
      </c>
      <c r="L138" s="107">
        <v>0</v>
      </c>
      <c r="M138" s="122">
        <v>45</v>
      </c>
      <c r="N138" s="133">
        <f t="shared" si="44"/>
        <v>2497571.4777621999</v>
      </c>
      <c r="O138" s="107"/>
      <c r="P138" s="107">
        <v>705615.64</v>
      </c>
      <c r="Q138" s="108"/>
      <c r="R138" s="108">
        <f>+AQ138+AR138</f>
        <v>252901.75</v>
      </c>
      <c r="S138" s="108">
        <f>+'Приложение №2'!E138-'Приложение №1'!R138-P138</f>
        <v>1539054.0877621998</v>
      </c>
      <c r="T138" s="108">
        <f>+'Приложение №2'!E138-'Приложение №1'!P138-'Приложение №1'!Q138-'Приложение №1'!R138-'Приложение №1'!S138</f>
        <v>0</v>
      </c>
      <c r="U138" s="107">
        <f>$N138/($K138+$L138)</f>
        <v>5423.6079864542889</v>
      </c>
      <c r="V138" s="107">
        <f>$N138/($K138+$L138)</f>
        <v>5423.6079864542889</v>
      </c>
      <c r="W138" s="135">
        <v>2022</v>
      </c>
      <c r="X138" s="28" t="e">
        <f>+#REF!-'[1]Приложение №1'!$P640</f>
        <v>#REF!</v>
      </c>
      <c r="Z138" s="30">
        <f>SUM(AA138:AO138)</f>
        <v>6521557.4500000002</v>
      </c>
      <c r="AA138" s="26">
        <v>0</v>
      </c>
      <c r="AB138" s="26">
        <v>875995.49980991997</v>
      </c>
      <c r="AC138" s="26">
        <v>411337.83054587996</v>
      </c>
      <c r="AD138" s="26">
        <v>350714.74954488</v>
      </c>
      <c r="AE138" s="26">
        <v>0</v>
      </c>
      <c r="AF138" s="26"/>
      <c r="AG138" s="26">
        <v>0</v>
      </c>
      <c r="AH138" s="26">
        <v>0</v>
      </c>
      <c r="AI138" s="26">
        <v>4074971.6952377995</v>
      </c>
      <c r="AJ138" s="26">
        <v>0</v>
      </c>
      <c r="AK138" s="26">
        <v>0</v>
      </c>
      <c r="AL138" s="26">
        <v>0</v>
      </c>
      <c r="AM138" s="26">
        <v>618389.92870000005</v>
      </c>
      <c r="AN138" s="31">
        <v>65215.574499999995</v>
      </c>
      <c r="AO138" s="32">
        <v>124932.17166151998</v>
      </c>
      <c r="AP138" s="77">
        <f>+N138-'Приложение №2'!E138</f>
        <v>0</v>
      </c>
      <c r="AQ138" s="1">
        <v>205930.75</v>
      </c>
      <c r="AR138" s="1">
        <f>+(K138*10+L138*20)*12*0.85</f>
        <v>46971</v>
      </c>
      <c r="AS138" s="1">
        <f>+(K138*10+L138*20)*12*30-133800.13</f>
        <v>1523999.87</v>
      </c>
      <c r="AT138" s="28">
        <f>+S138-AS138</f>
        <v>15054.217762199696</v>
      </c>
      <c r="AU138" s="28">
        <f>+P138-'[6]Приложение №1'!$P336</f>
        <v>2.4999998277053237E-3</v>
      </c>
      <c r="AV138" s="28">
        <f>+Q138-'[6]Приложение №1'!$Q336</f>
        <v>0</v>
      </c>
      <c r="AW138" s="28">
        <f>+R138-'[6]Приложение №1'!$R336</f>
        <v>0</v>
      </c>
      <c r="AX138" s="28">
        <f>+S138-'[6]Приложение №1'!$S336</f>
        <v>269112.6875</v>
      </c>
      <c r="AY138" s="28">
        <f>+T138-'[6]Приложение №1'!$T336</f>
        <v>0</v>
      </c>
    </row>
    <row r="139" spans="1:51" x14ac:dyDescent="0.25">
      <c r="A139" s="72">
        <f t="shared" si="42"/>
        <v>122</v>
      </c>
      <c r="B139" s="73">
        <f t="shared" si="42"/>
        <v>122</v>
      </c>
      <c r="C139" s="73" t="s">
        <v>63</v>
      </c>
      <c r="D139" s="120" t="s">
        <v>566</v>
      </c>
      <c r="E139" s="121">
        <v>1983</v>
      </c>
      <c r="F139" s="121">
        <v>1983</v>
      </c>
      <c r="G139" s="121" t="s">
        <v>43</v>
      </c>
      <c r="H139" s="121">
        <v>2</v>
      </c>
      <c r="I139" s="121">
        <v>2</v>
      </c>
      <c r="J139" s="107">
        <v>910.77</v>
      </c>
      <c r="K139" s="107">
        <v>841.26</v>
      </c>
      <c r="L139" s="107">
        <v>0</v>
      </c>
      <c r="M139" s="122">
        <v>34</v>
      </c>
      <c r="N139" s="123">
        <f t="shared" si="44"/>
        <v>1175462.0518470199</v>
      </c>
      <c r="O139" s="107"/>
      <c r="P139" s="109"/>
      <c r="Q139" s="108"/>
      <c r="R139" s="108">
        <f t="shared" ref="R139:R144" si="46">+AQ139+AR139</f>
        <v>393318.14</v>
      </c>
      <c r="S139" s="108">
        <f>+'Приложение №2'!E139-'Приложение №1'!P139-'Приложение №1'!Q139-'Приложение №1'!R139</f>
        <v>782143.91184701992</v>
      </c>
      <c r="T139" s="107">
        <f>+'Приложение №2'!E139-'Приложение №1'!P139-'Приложение №1'!Q139-'Приложение №1'!R139-'Приложение №1'!S139</f>
        <v>0</v>
      </c>
      <c r="U139" s="108">
        <f t="shared" si="43"/>
        <v>1397.2636899971708</v>
      </c>
      <c r="V139" s="108">
        <f t="shared" si="43"/>
        <v>1397.2636899971708</v>
      </c>
      <c r="W139" s="135">
        <v>2022</v>
      </c>
      <c r="X139" s="28" t="e">
        <f>+#REF!-'[1]Приложение №1'!$P742</f>
        <v>#REF!</v>
      </c>
      <c r="Z139" s="30">
        <f t="shared" si="41"/>
        <v>6295969.4100000001</v>
      </c>
      <c r="AA139" s="26">
        <v>2467129.6784152202</v>
      </c>
      <c r="AB139" s="26">
        <v>1501213.4170404002</v>
      </c>
      <c r="AC139" s="26">
        <v>707372.31680261996</v>
      </c>
      <c r="AD139" s="26">
        <v>602841.43419444002</v>
      </c>
      <c r="AE139" s="26">
        <v>0</v>
      </c>
      <c r="AF139" s="26"/>
      <c r="AG139" s="26">
        <v>262217.35903776006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571070.00050000008</v>
      </c>
      <c r="AN139" s="31">
        <v>62959.694100000001</v>
      </c>
      <c r="AO139" s="32">
        <v>121165.50990956002</v>
      </c>
      <c r="AP139" s="77">
        <f>+N139-'Приложение №2'!E139</f>
        <v>0</v>
      </c>
      <c r="AQ139" s="1">
        <f>380898.3-73388.68</f>
        <v>307509.62</v>
      </c>
      <c r="AR139" s="1">
        <f t="shared" si="45"/>
        <v>85808.52</v>
      </c>
      <c r="AS139" s="1">
        <f>+(K139*10+L139*20)*12*30-439562.52</f>
        <v>2588973.4800000004</v>
      </c>
      <c r="AT139" s="28">
        <f t="shared" si="27"/>
        <v>-1806829.5681529804</v>
      </c>
    </row>
    <row r="140" spans="1:51" x14ac:dyDescent="0.25">
      <c r="A140" s="72">
        <f t="shared" si="42"/>
        <v>123</v>
      </c>
      <c r="B140" s="73">
        <f t="shared" si="42"/>
        <v>123</v>
      </c>
      <c r="C140" s="73" t="s">
        <v>54</v>
      </c>
      <c r="D140" s="120" t="s">
        <v>571</v>
      </c>
      <c r="E140" s="121">
        <v>1976</v>
      </c>
      <c r="F140" s="121">
        <v>2008</v>
      </c>
      <c r="G140" s="121" t="s">
        <v>43</v>
      </c>
      <c r="H140" s="121">
        <v>4</v>
      </c>
      <c r="I140" s="121">
        <v>4</v>
      </c>
      <c r="J140" s="107">
        <v>4257.32</v>
      </c>
      <c r="K140" s="107">
        <v>3128.38</v>
      </c>
      <c r="L140" s="107">
        <v>991.08</v>
      </c>
      <c r="M140" s="122">
        <v>124</v>
      </c>
      <c r="N140" s="123">
        <f t="shared" si="44"/>
        <v>5475068.96438374</v>
      </c>
      <c r="O140" s="107"/>
      <c r="P140" s="108"/>
      <c r="Q140" s="108"/>
      <c r="R140" s="108">
        <f t="shared" si="46"/>
        <v>1333462.67</v>
      </c>
      <c r="S140" s="108">
        <f>+'Приложение №2'!E140-'Приложение №1'!R140</f>
        <v>4141606.2943837401</v>
      </c>
      <c r="T140" s="107">
        <f>+'Приложение №2'!E140-'Приложение №1'!P140-'Приложение №1'!Q140-'Приложение №1'!R140-'Приложение №1'!S140</f>
        <v>0</v>
      </c>
      <c r="U140" s="108">
        <f t="shared" si="43"/>
        <v>1329.0744331499129</v>
      </c>
      <c r="V140" s="108">
        <f t="shared" si="43"/>
        <v>1329.0744331499129</v>
      </c>
      <c r="W140" s="135">
        <v>2022</v>
      </c>
      <c r="X140" s="28" t="e">
        <f>+#REF!-'[1]Приложение №1'!$P565</f>
        <v>#REF!</v>
      </c>
      <c r="Z140" s="30">
        <f t="shared" si="41"/>
        <v>16411728.570000004</v>
      </c>
      <c r="AA140" s="26">
        <v>7185234.1705489811</v>
      </c>
      <c r="AB140" s="26">
        <v>2542217.2836664799</v>
      </c>
      <c r="AC140" s="26">
        <v>0</v>
      </c>
      <c r="AD140" s="26">
        <v>1662855.463857</v>
      </c>
      <c r="AE140" s="26">
        <v>2127796.9824119406</v>
      </c>
      <c r="AF140" s="26"/>
      <c r="AG140" s="26">
        <v>285097.02429768001</v>
      </c>
      <c r="AH140" s="26">
        <v>0</v>
      </c>
      <c r="AI140" s="26">
        <v>0</v>
      </c>
      <c r="AJ140" s="26">
        <v>0</v>
      </c>
      <c r="AK140" s="26">
        <v>0</v>
      </c>
      <c r="AL140" s="26">
        <v>0</v>
      </c>
      <c r="AM140" s="26">
        <v>2142562.3114999998</v>
      </c>
      <c r="AN140" s="31">
        <v>164117.28570000004</v>
      </c>
      <c r="AO140" s="32">
        <v>301848.04801792005</v>
      </c>
      <c r="AP140" s="77">
        <f>+N140-'Приложение №2'!E140</f>
        <v>0</v>
      </c>
      <c r="AQ140" s="1">
        <f>1377282.4-565094.81</f>
        <v>812187.58999999985</v>
      </c>
      <c r="AR140" s="1">
        <f t="shared" si="45"/>
        <v>521275.08</v>
      </c>
      <c r="AS140" s="1">
        <f>+(K140*10+L140*20)*12*30-180969.62</f>
        <v>18216974.379999999</v>
      </c>
      <c r="AT140" s="28">
        <f t="shared" si="27"/>
        <v>-14075368.085616259</v>
      </c>
    </row>
    <row r="141" spans="1:51" x14ac:dyDescent="0.25">
      <c r="A141" s="72">
        <f t="shared" si="42"/>
        <v>124</v>
      </c>
      <c r="B141" s="73">
        <f t="shared" si="42"/>
        <v>124</v>
      </c>
      <c r="C141" s="73" t="s">
        <v>54</v>
      </c>
      <c r="D141" s="120" t="s">
        <v>572</v>
      </c>
      <c r="E141" s="121">
        <v>1964</v>
      </c>
      <c r="F141" s="121">
        <v>1964</v>
      </c>
      <c r="G141" s="121" t="s">
        <v>43</v>
      </c>
      <c r="H141" s="121">
        <v>2</v>
      </c>
      <c r="I141" s="121">
        <v>2</v>
      </c>
      <c r="J141" s="107">
        <v>816.77</v>
      </c>
      <c r="K141" s="107">
        <v>598.04999999999995</v>
      </c>
      <c r="L141" s="107">
        <v>218.72</v>
      </c>
      <c r="M141" s="122">
        <v>23</v>
      </c>
      <c r="N141" s="123">
        <f t="shared" si="44"/>
        <v>5269327.2909560008</v>
      </c>
      <c r="O141" s="107"/>
      <c r="P141" s="109"/>
      <c r="Q141" s="108"/>
      <c r="R141" s="108">
        <f t="shared" si="46"/>
        <v>229835.71999999997</v>
      </c>
      <c r="S141" s="108">
        <f>+AS141</f>
        <v>3698306.2799999993</v>
      </c>
      <c r="T141" s="107">
        <f>+'Приложение №2'!E141-'Приложение №1'!P141-'Приложение №1'!Q141-'Приложение №1'!R141-'Приложение №1'!S141</f>
        <v>1341185.2909560017</v>
      </c>
      <c r="U141" s="108">
        <f t="shared" si="43"/>
        <v>6451.4211968559093</v>
      </c>
      <c r="V141" s="108">
        <f t="shared" si="43"/>
        <v>6451.4211968559093</v>
      </c>
      <c r="W141" s="135">
        <v>2022</v>
      </c>
      <c r="X141" s="28" t="e">
        <f>+#REF!-'[1]Приложение №1'!$P563</f>
        <v>#REF!</v>
      </c>
      <c r="Z141" s="30">
        <f t="shared" si="41"/>
        <v>6301561.3699999992</v>
      </c>
      <c r="AA141" s="26">
        <v>0</v>
      </c>
      <c r="AB141" s="26">
        <v>0</v>
      </c>
      <c r="AC141" s="26">
        <v>499972.95528431999</v>
      </c>
      <c r="AD141" s="26">
        <v>0</v>
      </c>
      <c r="AE141" s="26">
        <v>0</v>
      </c>
      <c r="AF141" s="26"/>
      <c r="AG141" s="26">
        <v>0</v>
      </c>
      <c r="AH141" s="26">
        <v>0</v>
      </c>
      <c r="AI141" s="26">
        <v>5044446.5320746005</v>
      </c>
      <c r="AJ141" s="26">
        <v>0</v>
      </c>
      <c r="AK141" s="26">
        <v>0</v>
      </c>
      <c r="AL141" s="26">
        <v>0</v>
      </c>
      <c r="AM141" s="26">
        <v>572881.04409999994</v>
      </c>
      <c r="AN141" s="31">
        <v>63015.613700000002</v>
      </c>
      <c r="AO141" s="32">
        <v>121245.22484108002</v>
      </c>
      <c r="AP141" s="77">
        <f>+N141-'Приложение №2'!E141</f>
        <v>0</v>
      </c>
      <c r="AQ141" s="1">
        <f>223283.02-99067.28</f>
        <v>124215.73999999999</v>
      </c>
      <c r="AR141" s="1">
        <f t="shared" si="45"/>
        <v>105619.97999999998</v>
      </c>
      <c r="AS141" s="1">
        <f>+(K141*10+L141*20)*12*30-29457.72</f>
        <v>3698306.2799999993</v>
      </c>
      <c r="AT141" s="28">
        <f t="shared" si="27"/>
        <v>0</v>
      </c>
    </row>
    <row r="142" spans="1:51" x14ac:dyDescent="0.25">
      <c r="A142" s="72">
        <f t="shared" si="42"/>
        <v>125</v>
      </c>
      <c r="B142" s="73">
        <f t="shared" si="42"/>
        <v>125</v>
      </c>
      <c r="C142" s="73" t="s">
        <v>54</v>
      </c>
      <c r="D142" s="120" t="s">
        <v>573</v>
      </c>
      <c r="E142" s="121">
        <v>1975</v>
      </c>
      <c r="F142" s="121">
        <v>2008</v>
      </c>
      <c r="G142" s="121" t="s">
        <v>43</v>
      </c>
      <c r="H142" s="121">
        <v>4</v>
      </c>
      <c r="I142" s="121">
        <v>4</v>
      </c>
      <c r="J142" s="107">
        <v>4182.96</v>
      </c>
      <c r="K142" s="107">
        <v>3048.03</v>
      </c>
      <c r="L142" s="107">
        <v>978.37</v>
      </c>
      <c r="M142" s="122">
        <v>135</v>
      </c>
      <c r="N142" s="123">
        <f t="shared" si="44"/>
        <v>5224437.8286898192</v>
      </c>
      <c r="O142" s="107"/>
      <c r="P142" s="108"/>
      <c r="Q142" s="108"/>
      <c r="R142" s="108">
        <f t="shared" si="46"/>
        <v>1566212.3599999999</v>
      </c>
      <c r="S142" s="108">
        <f>+'Приложение №2'!E142-'Приложение №1'!R142</f>
        <v>3658225.4686898193</v>
      </c>
      <c r="T142" s="107">
        <f>+'Приложение №2'!E142-'Приложение №1'!P142-'Приложение №1'!Q142-'Приложение №1'!R142-'Приложение №1'!S142</f>
        <v>0</v>
      </c>
      <c r="U142" s="108">
        <f t="shared" si="43"/>
        <v>1297.5456558438852</v>
      </c>
      <c r="V142" s="108">
        <f t="shared" si="43"/>
        <v>1297.5456558438852</v>
      </c>
      <c r="W142" s="135">
        <v>2022</v>
      </c>
      <c r="X142" s="28" t="e">
        <f>+#REF!-'[1]Приложение №1'!$P564</f>
        <v>#REF!</v>
      </c>
      <c r="Z142" s="30">
        <f t="shared" si="41"/>
        <v>16048675.259999996</v>
      </c>
      <c r="AA142" s="26">
        <v>7026285.4671664191</v>
      </c>
      <c r="AB142" s="26">
        <v>2485979.4267953397</v>
      </c>
      <c r="AC142" s="26">
        <v>0</v>
      </c>
      <c r="AD142" s="26">
        <v>1626070.4809313999</v>
      </c>
      <c r="AE142" s="26">
        <v>2080726.7578889399</v>
      </c>
      <c r="AF142" s="26"/>
      <c r="AG142" s="26">
        <v>278790.22600296006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2095165.4553</v>
      </c>
      <c r="AN142" s="31">
        <v>160486.75260000001</v>
      </c>
      <c r="AO142" s="32">
        <v>295170.69331494003</v>
      </c>
      <c r="AP142" s="77">
        <f>+N142-'Приложение №2'!E142</f>
        <v>0</v>
      </c>
      <c r="AQ142" s="1">
        <f>1500891.17-445165.35</f>
        <v>1055725.8199999998</v>
      </c>
      <c r="AR142" s="1">
        <f t="shared" si="45"/>
        <v>510486.54</v>
      </c>
      <c r="AS142" s="1">
        <f>+(K142*10+L142*20)*12*30-179374.89</f>
        <v>17837797.109999999</v>
      </c>
      <c r="AT142" s="28">
        <f t="shared" si="27"/>
        <v>-14179571.64131018</v>
      </c>
    </row>
    <row r="143" spans="1:51" x14ac:dyDescent="0.25">
      <c r="A143" s="72">
        <f t="shared" si="42"/>
        <v>126</v>
      </c>
      <c r="B143" s="73">
        <f t="shared" si="42"/>
        <v>126</v>
      </c>
      <c r="C143" s="73" t="s">
        <v>54</v>
      </c>
      <c r="D143" s="120" t="s">
        <v>574</v>
      </c>
      <c r="E143" s="121">
        <v>1978</v>
      </c>
      <c r="F143" s="121">
        <v>2007</v>
      </c>
      <c r="G143" s="121" t="s">
        <v>43</v>
      </c>
      <c r="H143" s="121">
        <v>4</v>
      </c>
      <c r="I143" s="121">
        <v>4</v>
      </c>
      <c r="J143" s="107">
        <v>3576.31</v>
      </c>
      <c r="K143" s="107">
        <v>2733.31</v>
      </c>
      <c r="L143" s="107">
        <v>843</v>
      </c>
      <c r="M143" s="122">
        <v>110</v>
      </c>
      <c r="N143" s="123">
        <f t="shared" si="44"/>
        <v>5699865.1681458</v>
      </c>
      <c r="O143" s="107"/>
      <c r="P143" s="108"/>
      <c r="Q143" s="108"/>
      <c r="R143" s="108">
        <f t="shared" si="46"/>
        <v>1244325.77</v>
      </c>
      <c r="S143" s="108">
        <f>+'Приложение №2'!E143-'Приложение №1'!R143</f>
        <v>4455539.3981458005</v>
      </c>
      <c r="T143" s="107">
        <f>+'Приложение №2'!E143-'Приложение №1'!P143-'Приложение №1'!Q143-'Приложение №1'!R143-'Приложение №1'!S143</f>
        <v>0</v>
      </c>
      <c r="U143" s="108">
        <f t="shared" si="43"/>
        <v>1593.7838632964704</v>
      </c>
      <c r="V143" s="108">
        <f t="shared" si="43"/>
        <v>1593.7838632964704</v>
      </c>
      <c r="W143" s="135">
        <v>2022</v>
      </c>
      <c r="X143" s="28" t="e">
        <f>+#REF!-'[1]Приложение №1'!$P565</f>
        <v>#REF!</v>
      </c>
      <c r="Z143" s="30">
        <f t="shared" si="41"/>
        <v>14323988.610000001</v>
      </c>
      <c r="AA143" s="26">
        <v>6271198.8006540602</v>
      </c>
      <c r="AB143" s="26">
        <v>2218821.2026700997</v>
      </c>
      <c r="AC143" s="26">
        <v>0</v>
      </c>
      <c r="AD143" s="26">
        <v>1451323.2211791598</v>
      </c>
      <c r="AE143" s="26">
        <v>1857119.41303938</v>
      </c>
      <c r="AF143" s="26"/>
      <c r="AG143" s="26">
        <v>248829.75972035999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1870006.4417999999</v>
      </c>
      <c r="AN143" s="31">
        <v>143239.88609999997</v>
      </c>
      <c r="AO143" s="32">
        <v>263449.88483693998</v>
      </c>
      <c r="AP143" s="77">
        <f>+N143-'Приложение №2'!E143</f>
        <v>0</v>
      </c>
      <c r="AQ143" s="1">
        <f>1278728.82-485172.67</f>
        <v>793556.15000000014</v>
      </c>
      <c r="AR143" s="1">
        <f t="shared" si="45"/>
        <v>450769.61999999994</v>
      </c>
      <c r="AS143" s="1">
        <f>+(K143*10+L143*20)*12*30-175262.76</f>
        <v>15734253.239999998</v>
      </c>
      <c r="AT143" s="28">
        <f t="shared" si="27"/>
        <v>-11278713.841854198</v>
      </c>
    </row>
    <row r="144" spans="1:51" x14ac:dyDescent="0.25">
      <c r="A144" s="72">
        <f t="shared" si="42"/>
        <v>127</v>
      </c>
      <c r="B144" s="73">
        <f t="shared" si="42"/>
        <v>127</v>
      </c>
      <c r="C144" s="73" t="s">
        <v>54</v>
      </c>
      <c r="D144" s="120" t="s">
        <v>575</v>
      </c>
      <c r="E144" s="121">
        <v>1964</v>
      </c>
      <c r="F144" s="121">
        <v>1964</v>
      </c>
      <c r="G144" s="121" t="s">
        <v>43</v>
      </c>
      <c r="H144" s="121">
        <v>2</v>
      </c>
      <c r="I144" s="121">
        <v>2</v>
      </c>
      <c r="J144" s="107">
        <v>868.87</v>
      </c>
      <c r="K144" s="107">
        <v>613.55999999999995</v>
      </c>
      <c r="L144" s="107">
        <v>255.31</v>
      </c>
      <c r="M144" s="122">
        <v>26</v>
      </c>
      <c r="N144" s="123">
        <f t="shared" si="44"/>
        <v>5854211.9964419995</v>
      </c>
      <c r="O144" s="107"/>
      <c r="P144" s="109"/>
      <c r="Q144" s="108"/>
      <c r="R144" s="108">
        <f t="shared" si="46"/>
        <v>292223.84999999998</v>
      </c>
      <c r="S144" s="108">
        <f>+AS144</f>
        <v>4017523.1399999992</v>
      </c>
      <c r="T144" s="107">
        <f>+'Приложение №2'!E144-'Приложение №1'!P144-'Приложение №1'!Q144-'Приложение №1'!R144-'Приложение №1'!S144</f>
        <v>1544465.0064420006</v>
      </c>
      <c r="U144" s="108">
        <f t="shared" si="43"/>
        <v>6737.7306115322199</v>
      </c>
      <c r="V144" s="108">
        <f t="shared" si="43"/>
        <v>6737.7306115322199</v>
      </c>
      <c r="W144" s="135">
        <v>2022</v>
      </c>
      <c r="X144" s="28" t="e">
        <f>+#REF!-'[1]Приложение №1'!$P566</f>
        <v>#REF!</v>
      </c>
      <c r="Z144" s="30">
        <f t="shared" si="41"/>
        <v>6504868.2400000012</v>
      </c>
      <c r="AA144" s="26">
        <v>0</v>
      </c>
      <c r="AB144" s="26">
        <v>0</v>
      </c>
      <c r="AC144" s="26">
        <v>516103.55464625999</v>
      </c>
      <c r="AD144" s="26">
        <v>0</v>
      </c>
      <c r="AE144" s="26">
        <v>0</v>
      </c>
      <c r="AF144" s="26"/>
      <c r="AG144" s="26">
        <v>0</v>
      </c>
      <c r="AH144" s="26">
        <v>0</v>
      </c>
      <c r="AI144" s="26">
        <v>5207195.1827070005</v>
      </c>
      <c r="AJ144" s="26">
        <v>0</v>
      </c>
      <c r="AK144" s="26">
        <v>0</v>
      </c>
      <c r="AL144" s="26">
        <v>0</v>
      </c>
      <c r="AM144" s="26">
        <v>591363.86849999998</v>
      </c>
      <c r="AN144" s="31">
        <v>65048.682400000005</v>
      </c>
      <c r="AO144" s="32">
        <v>125156.95174674</v>
      </c>
      <c r="AP144" s="77">
        <f>+N144-'Приложение №2'!E144</f>
        <v>0</v>
      </c>
      <c r="AQ144" s="1">
        <f>278417.8-100860.31</f>
        <v>177557.49</v>
      </c>
      <c r="AR144" s="1">
        <f t="shared" si="45"/>
        <v>114666.35999999997</v>
      </c>
      <c r="AS144" s="1">
        <f>+(K144*10+L144*20)*12*30-29524.86</f>
        <v>4017523.1399999992</v>
      </c>
      <c r="AT144" s="28">
        <f t="shared" ref="AT144:AT203" si="47">+S144-AS144</f>
        <v>0</v>
      </c>
    </row>
    <row r="145" spans="1:46" x14ac:dyDescent="0.25">
      <c r="A145" s="72">
        <f t="shared" si="42"/>
        <v>128</v>
      </c>
      <c r="B145" s="73">
        <f t="shared" si="42"/>
        <v>128</v>
      </c>
      <c r="C145" s="73" t="s">
        <v>55</v>
      </c>
      <c r="D145" s="120" t="s">
        <v>583</v>
      </c>
      <c r="E145" s="121">
        <v>1977</v>
      </c>
      <c r="F145" s="121">
        <v>1977</v>
      </c>
      <c r="G145" s="121" t="s">
        <v>43</v>
      </c>
      <c r="H145" s="121">
        <v>5</v>
      </c>
      <c r="I145" s="121">
        <v>1</v>
      </c>
      <c r="J145" s="107">
        <v>1730.3</v>
      </c>
      <c r="K145" s="107">
        <v>1456.4</v>
      </c>
      <c r="L145" s="107">
        <v>0</v>
      </c>
      <c r="M145" s="122">
        <v>49</v>
      </c>
      <c r="N145" s="123">
        <f t="shared" si="44"/>
        <v>7339250.7175320005</v>
      </c>
      <c r="O145" s="107"/>
      <c r="P145" s="108">
        <v>543550.55000000005</v>
      </c>
      <c r="Q145" s="108"/>
      <c r="R145" s="108">
        <v>737257.37</v>
      </c>
      <c r="S145" s="108">
        <v>1453245.72</v>
      </c>
      <c r="T145" s="107">
        <f>+'Приложение №2'!E145-'Приложение №1'!P145-'Приложение №1'!Q145-'Приложение №1'!R145-'Приложение №1'!S145</f>
        <v>4605197.0775320008</v>
      </c>
      <c r="U145" s="108">
        <f t="shared" si="43"/>
        <v>5039.309748374073</v>
      </c>
      <c r="V145" s="108">
        <f t="shared" si="43"/>
        <v>5039.309748374073</v>
      </c>
      <c r="W145" s="135">
        <v>2022</v>
      </c>
      <c r="X145" s="28" t="e">
        <f>+#REF!-'[1]Приложение №1'!$P791</f>
        <v>#REF!</v>
      </c>
      <c r="Z145" s="30">
        <f t="shared" si="41"/>
        <v>38072067.120000005</v>
      </c>
      <c r="AA145" s="26">
        <v>4710479.1050062198</v>
      </c>
      <c r="AB145" s="26">
        <v>2176226.3089270201</v>
      </c>
      <c r="AC145" s="26">
        <v>2204614.3839224395</v>
      </c>
      <c r="AD145" s="26">
        <v>1424137.1203432798</v>
      </c>
      <c r="AE145" s="26">
        <v>0</v>
      </c>
      <c r="AF145" s="26"/>
      <c r="AG145" s="26">
        <v>146063.50321331999</v>
      </c>
      <c r="AH145" s="26">
        <v>0</v>
      </c>
      <c r="AI145" s="26">
        <v>11068738.746596999</v>
      </c>
      <c r="AJ145" s="26">
        <v>0</v>
      </c>
      <c r="AK145" s="26">
        <v>5717896.3951359605</v>
      </c>
      <c r="AL145" s="26">
        <v>5901111.3759779995</v>
      </c>
      <c r="AM145" s="26">
        <v>3612798.5854000002</v>
      </c>
      <c r="AN145" s="31">
        <v>380720.67119999998</v>
      </c>
      <c r="AO145" s="32">
        <v>729280.92427675996</v>
      </c>
      <c r="AP145" s="77">
        <f>+N145-'Приложение №2'!E145</f>
        <v>0</v>
      </c>
      <c r="AQ145" s="1">
        <v>590020.37</v>
      </c>
      <c r="AR145" s="1">
        <f t="shared" si="45"/>
        <v>148552.79999999999</v>
      </c>
      <c r="AS145" s="1">
        <f>+(K145*10+L145*20)*12*30</f>
        <v>5243040</v>
      </c>
      <c r="AT145" s="28">
        <f t="shared" si="47"/>
        <v>-3789794.2800000003</v>
      </c>
    </row>
    <row r="146" spans="1:46" x14ac:dyDescent="0.25">
      <c r="A146" s="72">
        <f t="shared" si="42"/>
        <v>129</v>
      </c>
      <c r="B146" s="73">
        <f t="shared" si="42"/>
        <v>129</v>
      </c>
      <c r="C146" s="73" t="s">
        <v>65</v>
      </c>
      <c r="D146" s="120" t="s">
        <v>585</v>
      </c>
      <c r="E146" s="121">
        <v>1984</v>
      </c>
      <c r="F146" s="121">
        <v>1984</v>
      </c>
      <c r="G146" s="121" t="s">
        <v>43</v>
      </c>
      <c r="H146" s="121">
        <v>5</v>
      </c>
      <c r="I146" s="121">
        <v>4</v>
      </c>
      <c r="J146" s="107">
        <v>3359.4</v>
      </c>
      <c r="K146" s="107">
        <v>2391.8000000000002</v>
      </c>
      <c r="L146" s="107">
        <v>553.20000000000005</v>
      </c>
      <c r="M146" s="122">
        <v>62</v>
      </c>
      <c r="N146" s="123">
        <f t="shared" si="44"/>
        <v>7581577</v>
      </c>
      <c r="O146" s="107"/>
      <c r="P146" s="108"/>
      <c r="Q146" s="108"/>
      <c r="R146" s="108">
        <v>492779.18</v>
      </c>
      <c r="S146" s="108">
        <f>+'Приложение №2'!E146-'Приложение №1'!P146-'Приложение №1'!R146-'Приложение №1'!T146</f>
        <v>5673883.8000000007</v>
      </c>
      <c r="T146" s="107">
        <v>1414914.02</v>
      </c>
      <c r="U146" s="108">
        <f t="shared" si="43"/>
        <v>2574.3894736842103</v>
      </c>
      <c r="V146" s="108">
        <f t="shared" si="43"/>
        <v>2574.3894736842103</v>
      </c>
      <c r="W146" s="135">
        <v>2022</v>
      </c>
      <c r="X146" s="28" t="e">
        <f>+#REF!-'[1]Приложение №1'!$P1544</f>
        <v>#REF!</v>
      </c>
      <c r="Z146" s="30">
        <f t="shared" si="41"/>
        <v>24399375.708956141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/>
      <c r="AG146" s="26">
        <v>0</v>
      </c>
      <c r="AH146" s="26">
        <v>0</v>
      </c>
      <c r="AI146" s="26">
        <v>0</v>
      </c>
      <c r="AJ146" s="26">
        <v>0</v>
      </c>
      <c r="AK146" s="26">
        <v>10229706.1</v>
      </c>
      <c r="AL146" s="26">
        <v>13577874.103206001</v>
      </c>
      <c r="AM146" s="26">
        <v>258631.32</v>
      </c>
      <c r="AN146" s="26">
        <v>39488.83</v>
      </c>
      <c r="AO146" s="32">
        <v>293675.35575013998</v>
      </c>
      <c r="AP146" s="77">
        <f>+N146-'Приложение №2'!E146</f>
        <v>0</v>
      </c>
      <c r="AQ146" s="1">
        <v>1110865.6299999999</v>
      </c>
      <c r="AR146" s="1">
        <f t="shared" si="45"/>
        <v>356816.39999999997</v>
      </c>
      <c r="AS146" s="1">
        <f>+(K146*10+L146*20)*12*30-3112059.45</f>
        <v>9481460.5500000007</v>
      </c>
      <c r="AT146" s="28">
        <f t="shared" si="47"/>
        <v>-3807576.75</v>
      </c>
    </row>
    <row r="147" spans="1:46" x14ac:dyDescent="0.25">
      <c r="A147" s="72">
        <f t="shared" ref="A147:B162" si="48">+A146+1</f>
        <v>130</v>
      </c>
      <c r="B147" s="73">
        <f t="shared" si="48"/>
        <v>130</v>
      </c>
      <c r="C147" s="73" t="s">
        <v>65</v>
      </c>
      <c r="D147" s="120" t="s">
        <v>586</v>
      </c>
      <c r="E147" s="121">
        <v>1980</v>
      </c>
      <c r="F147" s="121">
        <v>2013</v>
      </c>
      <c r="G147" s="121" t="s">
        <v>43</v>
      </c>
      <c r="H147" s="121">
        <v>5</v>
      </c>
      <c r="I147" s="121">
        <v>4</v>
      </c>
      <c r="J147" s="107">
        <v>3517.3</v>
      </c>
      <c r="K147" s="107">
        <v>2413.5</v>
      </c>
      <c r="L147" s="107">
        <v>670.3</v>
      </c>
      <c r="M147" s="122">
        <v>55</v>
      </c>
      <c r="N147" s="123">
        <f t="shared" si="44"/>
        <v>12740666.644782159</v>
      </c>
      <c r="O147" s="107"/>
      <c r="P147" s="108">
        <v>3328292.21</v>
      </c>
      <c r="Q147" s="108"/>
      <c r="R147" s="108"/>
      <c r="S147" s="108">
        <f>+'Приложение №2'!E147-'Приложение №1'!R147-P147</f>
        <v>9412374.4347821586</v>
      </c>
      <c r="T147" s="108">
        <f>+'Приложение №2'!E147-'Приложение №1'!P147-'Приложение №1'!Q147-'Приложение №1'!R147-'Приложение №1'!S147</f>
        <v>0</v>
      </c>
      <c r="U147" s="108">
        <f t="shared" si="43"/>
        <v>4131.4827955062456</v>
      </c>
      <c r="V147" s="108">
        <f t="shared" si="43"/>
        <v>4131.4827955062456</v>
      </c>
      <c r="W147" s="135">
        <v>2022</v>
      </c>
      <c r="X147" s="28" t="e">
        <f>+#REF!-'[1]Приложение №1'!$P794</f>
        <v>#REF!</v>
      </c>
      <c r="Y147" s="1" t="s">
        <v>87</v>
      </c>
      <c r="Z147" s="30">
        <f t="shared" si="41"/>
        <v>14492948.68038216</v>
      </c>
      <c r="AA147" s="26">
        <v>0</v>
      </c>
      <c r="AB147" s="26">
        <v>0</v>
      </c>
      <c r="AC147" s="26"/>
      <c r="AD147" s="26">
        <v>0</v>
      </c>
      <c r="AE147" s="26">
        <v>0</v>
      </c>
      <c r="AF147" s="26"/>
      <c r="AG147" s="26">
        <v>0</v>
      </c>
      <c r="AH147" s="26">
        <v>0</v>
      </c>
      <c r="AI147" s="26">
        <v>0</v>
      </c>
      <c r="AJ147" s="26">
        <v>0</v>
      </c>
      <c r="AK147" s="26">
        <v>13313168.82</v>
      </c>
      <c r="AL147" s="26">
        <v>0</v>
      </c>
      <c r="AM147" s="26">
        <v>947969.25600000005</v>
      </c>
      <c r="AN147" s="31">
        <v>59182.779600000002</v>
      </c>
      <c r="AO147" s="32">
        <v>172627.82478215999</v>
      </c>
      <c r="AP147" s="77">
        <f>+N147-'Приложение №2'!E147</f>
        <v>0</v>
      </c>
      <c r="AQ147" s="1">
        <v>1112557.28</v>
      </c>
      <c r="AR147" s="1">
        <f t="shared" si="45"/>
        <v>382918.2</v>
      </c>
      <c r="AS147" s="1">
        <f>+(K147*10+L147*20)*12*30-2158139.11-363880.66</f>
        <v>10992740.23</v>
      </c>
      <c r="AT147" s="28">
        <f t="shared" si="47"/>
        <v>-1580365.7952178419</v>
      </c>
    </row>
    <row r="148" spans="1:46" x14ac:dyDescent="0.25">
      <c r="A148" s="72">
        <f t="shared" si="48"/>
        <v>131</v>
      </c>
      <c r="B148" s="73">
        <f t="shared" si="48"/>
        <v>131</v>
      </c>
      <c r="C148" s="73" t="s">
        <v>45</v>
      </c>
      <c r="D148" s="120" t="s">
        <v>221</v>
      </c>
      <c r="E148" s="121">
        <v>1964</v>
      </c>
      <c r="F148" s="121">
        <v>1964</v>
      </c>
      <c r="G148" s="121" t="s">
        <v>43</v>
      </c>
      <c r="H148" s="121">
        <v>3</v>
      </c>
      <c r="I148" s="121">
        <v>3</v>
      </c>
      <c r="J148" s="107">
        <v>977.7</v>
      </c>
      <c r="K148" s="107">
        <v>824.1</v>
      </c>
      <c r="L148" s="107">
        <v>81.5</v>
      </c>
      <c r="M148" s="122">
        <v>40</v>
      </c>
      <c r="N148" s="123">
        <f t="shared" si="44"/>
        <v>275546.21000000002</v>
      </c>
      <c r="O148" s="107"/>
      <c r="P148" s="108"/>
      <c r="Q148" s="108"/>
      <c r="R148" s="108">
        <v>204954.46</v>
      </c>
      <c r="S148" s="108">
        <v>70591.750000000029</v>
      </c>
      <c r="T148" s="107">
        <f>+'Приложение №2'!E148-'Приложение №1'!P148-'Приложение №1'!Q148-'Приложение №1'!R148-'Приложение №1'!S148</f>
        <v>0</v>
      </c>
      <c r="U148" s="108">
        <f t="shared" si="43"/>
        <v>304.26922482332157</v>
      </c>
      <c r="V148" s="108">
        <f t="shared" si="43"/>
        <v>304.26922482332157</v>
      </c>
      <c r="W148" s="135">
        <v>2022</v>
      </c>
      <c r="X148" s="28" t="e">
        <f>+#REF!-'[1]Приложение №1'!$P344</f>
        <v>#REF!</v>
      </c>
      <c r="Z148" s="30">
        <f t="shared" si="41"/>
        <v>8343290.9400000013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/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7266622.6173567604</v>
      </c>
      <c r="AM148" s="26">
        <v>834329.09400000004</v>
      </c>
      <c r="AN148" s="31">
        <v>83432.909400000004</v>
      </c>
      <c r="AO148" s="32">
        <v>158906.31924324002</v>
      </c>
      <c r="AP148" s="77">
        <f>+N148-'Приложение №2'!E148</f>
        <v>0</v>
      </c>
      <c r="AQ148" s="1">
        <f>314113.02-85397.7</f>
        <v>228715.32</v>
      </c>
      <c r="AR148" s="1">
        <f t="shared" si="45"/>
        <v>100684.2</v>
      </c>
      <c r="AS148" s="1">
        <f>+(K148*10+L148*20)*12*30</f>
        <v>3553560</v>
      </c>
      <c r="AT148" s="28">
        <f t="shared" si="47"/>
        <v>-3482968.25</v>
      </c>
    </row>
    <row r="149" spans="1:46" x14ac:dyDescent="0.25">
      <c r="A149" s="72">
        <f t="shared" si="48"/>
        <v>132</v>
      </c>
      <c r="B149" s="73">
        <f t="shared" si="48"/>
        <v>132</v>
      </c>
      <c r="C149" s="73" t="s">
        <v>45</v>
      </c>
      <c r="D149" s="120" t="s">
        <v>608</v>
      </c>
      <c r="E149" s="121">
        <v>1973</v>
      </c>
      <c r="F149" s="121">
        <v>1973</v>
      </c>
      <c r="G149" s="121" t="s">
        <v>43</v>
      </c>
      <c r="H149" s="121">
        <v>4</v>
      </c>
      <c r="I149" s="121">
        <v>3</v>
      </c>
      <c r="J149" s="107">
        <v>1399</v>
      </c>
      <c r="K149" s="107">
        <v>1081.5999999999999</v>
      </c>
      <c r="L149" s="107">
        <v>197.9</v>
      </c>
      <c r="M149" s="122">
        <v>41</v>
      </c>
      <c r="N149" s="123">
        <f t="shared" si="44"/>
        <v>2485206.75</v>
      </c>
      <c r="O149" s="107"/>
      <c r="P149" s="108">
        <v>404178.60000000009</v>
      </c>
      <c r="Q149" s="108"/>
      <c r="R149" s="108">
        <v>325425.82</v>
      </c>
      <c r="S149" s="108">
        <v>1755602.33</v>
      </c>
      <c r="T149" s="107">
        <f>+'Приложение №2'!E149-'Приложение №1'!P149-'Приложение №1'!Q149-'Приложение №1'!R149-'Приложение №1'!S149</f>
        <v>0</v>
      </c>
      <c r="U149" s="108">
        <f t="shared" si="43"/>
        <v>1942.3264947245018</v>
      </c>
      <c r="V149" s="108">
        <f t="shared" si="43"/>
        <v>1942.3264947245018</v>
      </c>
      <c r="W149" s="135">
        <v>2022</v>
      </c>
      <c r="X149" s="28" t="e">
        <f>+#REF!-'[1]Приложение №1'!$P345</f>
        <v>#REF!</v>
      </c>
      <c r="Z149" s="30">
        <f t="shared" si="41"/>
        <v>11828796.82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/>
      <c r="AG149" s="26">
        <v>0</v>
      </c>
      <c r="AH149" s="26">
        <v>0</v>
      </c>
      <c r="AI149" s="26">
        <v>6651371.2383216005</v>
      </c>
      <c r="AJ149" s="26">
        <v>0</v>
      </c>
      <c r="AK149" s="26">
        <v>0</v>
      </c>
      <c r="AL149" s="26">
        <v>3724870.7921149204</v>
      </c>
      <c r="AM149" s="26">
        <v>1107359.4236000001</v>
      </c>
      <c r="AN149" s="31">
        <v>118287.9682</v>
      </c>
      <c r="AO149" s="32">
        <v>226907.39776348002</v>
      </c>
      <c r="AP149" s="77">
        <f>+N149-'Приложение №2'!E149</f>
        <v>0</v>
      </c>
      <c r="AQ149" s="1">
        <f>414772.6-182047.66</f>
        <v>232724.93999999997</v>
      </c>
      <c r="AR149" s="1">
        <f t="shared" si="45"/>
        <v>150694.79999999999</v>
      </c>
      <c r="AS149" s="1">
        <f>+(K149*10+L149*20)*12*30</f>
        <v>5318640</v>
      </c>
      <c r="AT149" s="28">
        <f t="shared" si="47"/>
        <v>-3563037.67</v>
      </c>
    </row>
    <row r="150" spans="1:46" x14ac:dyDescent="0.25">
      <c r="A150" s="72">
        <f t="shared" si="48"/>
        <v>133</v>
      </c>
      <c r="B150" s="73">
        <f t="shared" si="48"/>
        <v>133</v>
      </c>
      <c r="C150" s="73" t="s">
        <v>45</v>
      </c>
      <c r="D150" s="120" t="s">
        <v>612</v>
      </c>
      <c r="E150" s="121">
        <v>1969</v>
      </c>
      <c r="F150" s="121">
        <v>1969</v>
      </c>
      <c r="G150" s="121" t="s">
        <v>43</v>
      </c>
      <c r="H150" s="121">
        <v>4</v>
      </c>
      <c r="I150" s="121">
        <v>4</v>
      </c>
      <c r="J150" s="107">
        <v>1301.0999999999999</v>
      </c>
      <c r="K150" s="107">
        <v>1206.0999999999999</v>
      </c>
      <c r="L150" s="107">
        <v>0</v>
      </c>
      <c r="M150" s="122">
        <v>55</v>
      </c>
      <c r="N150" s="123">
        <f t="shared" si="44"/>
        <v>1052989.615364</v>
      </c>
      <c r="O150" s="107"/>
      <c r="P150" s="108">
        <v>48024.160000000003</v>
      </c>
      <c r="Q150" s="108"/>
      <c r="R150" s="108"/>
      <c r="S150" s="108">
        <f>+'Приложение №2'!E150-'Приложение №1'!P150</f>
        <v>1004965.4553639999</v>
      </c>
      <c r="T150" s="107"/>
      <c r="U150" s="108">
        <f t="shared" si="43"/>
        <v>873.05332506757316</v>
      </c>
      <c r="V150" s="108">
        <f t="shared" si="43"/>
        <v>873.05332506757316</v>
      </c>
      <c r="W150" s="135">
        <v>2022</v>
      </c>
      <c r="X150" s="28" t="e">
        <f>+#REF!-'[1]Приложение №1'!$P1171</f>
        <v>#REF!</v>
      </c>
      <c r="Z150" s="30">
        <f t="shared" si="41"/>
        <v>20711430.510000002</v>
      </c>
      <c r="AA150" s="26">
        <v>3099206.3677902599</v>
      </c>
      <c r="AB150" s="26">
        <v>1118078.6011840198</v>
      </c>
      <c r="AC150" s="26">
        <v>1168117.9829516402</v>
      </c>
      <c r="AD150" s="26">
        <v>731341.61352924001</v>
      </c>
      <c r="AE150" s="26">
        <v>0</v>
      </c>
      <c r="AF150" s="26"/>
      <c r="AG150" s="26">
        <v>111818.98213248001</v>
      </c>
      <c r="AH150" s="26">
        <v>0</v>
      </c>
      <c r="AI150" s="26">
        <v>5736153.9664296005</v>
      </c>
      <c r="AJ150" s="26">
        <v>0</v>
      </c>
      <c r="AK150" s="26">
        <v>2978257.4163942602</v>
      </c>
      <c r="AL150" s="26">
        <v>3212334.9611770199</v>
      </c>
      <c r="AM150" s="26">
        <v>1951986.4567</v>
      </c>
      <c r="AN150" s="31">
        <v>207114.30510000003</v>
      </c>
      <c r="AO150" s="32">
        <v>397019.85661148006</v>
      </c>
      <c r="AP150" s="77">
        <f>+N150-'Приложение №2'!E150</f>
        <v>0</v>
      </c>
      <c r="AQ150" s="1">
        <v>468456.03</v>
      </c>
      <c r="AR150" s="1">
        <f t="shared" si="45"/>
        <v>123022.2</v>
      </c>
      <c r="AS150" s="1">
        <f>+(K150*10+L150*20)*12*30-171359.03</f>
        <v>4170600.97</v>
      </c>
      <c r="AT150" s="28">
        <f t="shared" si="47"/>
        <v>-3165635.5146360002</v>
      </c>
    </row>
    <row r="151" spans="1:46" x14ac:dyDescent="0.25">
      <c r="A151" s="72">
        <f t="shared" si="48"/>
        <v>134</v>
      </c>
      <c r="B151" s="73">
        <f t="shared" si="48"/>
        <v>134</v>
      </c>
      <c r="C151" s="73" t="s">
        <v>45</v>
      </c>
      <c r="D151" s="120" t="s">
        <v>606</v>
      </c>
      <c r="E151" s="121">
        <v>1974</v>
      </c>
      <c r="F151" s="121">
        <v>1974</v>
      </c>
      <c r="G151" s="121" t="s">
        <v>43</v>
      </c>
      <c r="H151" s="121">
        <v>4</v>
      </c>
      <c r="I151" s="121">
        <v>3</v>
      </c>
      <c r="J151" s="107">
        <v>1380.9</v>
      </c>
      <c r="K151" s="107">
        <v>1261.0999999999999</v>
      </c>
      <c r="L151" s="107">
        <v>0</v>
      </c>
      <c r="M151" s="122">
        <v>43</v>
      </c>
      <c r="N151" s="123">
        <f t="shared" si="44"/>
        <v>1332134.6908183601</v>
      </c>
      <c r="O151" s="107"/>
      <c r="P151" s="108"/>
      <c r="Q151" s="108"/>
      <c r="R151" s="108">
        <f>+AQ151+AR151</f>
        <v>641924.76</v>
      </c>
      <c r="S151" s="108">
        <f>+'Приложение №2'!E151-'Приложение №1'!P151-'Приложение №1'!Q151-'Приложение №1'!R151</f>
        <v>690209.93081836007</v>
      </c>
      <c r="T151" s="107">
        <f>+'Приложение №2'!E151-'Приложение №1'!P151-'Приложение №1'!Q151-'Приложение №1'!R151-'Приложение №1'!S151</f>
        <v>0</v>
      </c>
      <c r="U151" s="108">
        <f t="shared" si="43"/>
        <v>1056.3275638873683</v>
      </c>
      <c r="V151" s="108">
        <f t="shared" si="43"/>
        <v>1056.3275638873683</v>
      </c>
      <c r="W151" s="135">
        <v>2022</v>
      </c>
      <c r="X151" s="28" t="e">
        <f>+#REF!-'[1]Приложение №1'!$P1177</f>
        <v>#REF!</v>
      </c>
      <c r="Z151" s="30">
        <f t="shared" si="41"/>
        <v>24082184.68</v>
      </c>
      <c r="AA151" s="26">
        <v>3459603.0948952204</v>
      </c>
      <c r="AB151" s="26">
        <v>1248096.36492156</v>
      </c>
      <c r="AC151" s="26">
        <v>1303954.6600395001</v>
      </c>
      <c r="AD151" s="26">
        <v>816386.97648732003</v>
      </c>
      <c r="AE151" s="26">
        <v>0</v>
      </c>
      <c r="AF151" s="26"/>
      <c r="AG151" s="26">
        <v>124822.049583</v>
      </c>
      <c r="AH151" s="26">
        <v>0</v>
      </c>
      <c r="AI151" s="26">
        <v>6403192.8421985991</v>
      </c>
      <c r="AJ151" s="26">
        <v>838109.10532439989</v>
      </c>
      <c r="AK151" s="26">
        <v>3324589.38292698</v>
      </c>
      <c r="AL151" s="26">
        <v>3585887.05339116</v>
      </c>
      <c r="AM151" s="26">
        <v>2275205.5373000004</v>
      </c>
      <c r="AN151" s="31">
        <v>240821.8468</v>
      </c>
      <c r="AO151" s="32">
        <v>461515.76613225997</v>
      </c>
      <c r="AP151" s="77">
        <f>+N151-'Приложение №2'!E151</f>
        <v>0</v>
      </c>
      <c r="AQ151" s="1">
        <v>513292.56</v>
      </c>
      <c r="AR151" s="1">
        <f t="shared" si="45"/>
        <v>128632.2</v>
      </c>
      <c r="AS151" s="1">
        <f>+(K151*10+L151*20)*12*30</f>
        <v>4539960</v>
      </c>
      <c r="AT151" s="28">
        <f t="shared" si="47"/>
        <v>-3849750.0691816397</v>
      </c>
    </row>
    <row r="152" spans="1:46" x14ac:dyDescent="0.25">
      <c r="A152" s="72">
        <f t="shared" si="48"/>
        <v>135</v>
      </c>
      <c r="B152" s="73">
        <f t="shared" si="48"/>
        <v>135</v>
      </c>
      <c r="C152" s="73" t="s">
        <v>45</v>
      </c>
      <c r="D152" s="120" t="s">
        <v>607</v>
      </c>
      <c r="E152" s="121">
        <v>1962</v>
      </c>
      <c r="F152" s="121">
        <v>1962</v>
      </c>
      <c r="G152" s="121" t="s">
        <v>43</v>
      </c>
      <c r="H152" s="121">
        <v>3</v>
      </c>
      <c r="I152" s="121">
        <v>2</v>
      </c>
      <c r="J152" s="107">
        <v>937.1</v>
      </c>
      <c r="K152" s="107">
        <v>723.7</v>
      </c>
      <c r="L152" s="107">
        <v>213.4</v>
      </c>
      <c r="M152" s="122">
        <v>26</v>
      </c>
      <c r="N152" s="123">
        <f t="shared" si="44"/>
        <v>1168589.4982480002</v>
      </c>
      <c r="O152" s="107"/>
      <c r="P152" s="108">
        <v>83339.016051200218</v>
      </c>
      <c r="Q152" s="108"/>
      <c r="R152" s="108">
        <f>+AQ152+AR152</f>
        <v>193257.44</v>
      </c>
      <c r="S152" s="108">
        <f>+'Приложение №2'!E152-'Приложение №1'!P152-'Приложение №1'!Q152-'Приложение №1'!R152</f>
        <v>891993.0421968</v>
      </c>
      <c r="T152" s="107">
        <f>+'Приложение №2'!E152-'Приложение №1'!P152-'Приложение №1'!Q152-'Приложение №1'!R152-'Приложение №1'!S152</f>
        <v>0</v>
      </c>
      <c r="U152" s="108">
        <f t="shared" si="43"/>
        <v>1247.027529877281</v>
      </c>
      <c r="V152" s="108">
        <f t="shared" si="43"/>
        <v>1247.027529877281</v>
      </c>
      <c r="W152" s="135">
        <v>2022</v>
      </c>
      <c r="X152" s="28" t="e">
        <f>+#REF!-'[1]Приложение №1'!$P1178</f>
        <v>#REF!</v>
      </c>
      <c r="Z152" s="30">
        <f t="shared" si="41"/>
        <v>26675784</v>
      </c>
      <c r="AA152" s="26">
        <v>2404073.9634912</v>
      </c>
      <c r="AB152" s="26">
        <v>1462843.1901888</v>
      </c>
      <c r="AC152" s="26">
        <v>689312.71110239998</v>
      </c>
      <c r="AD152" s="26">
        <v>587431.31489280006</v>
      </c>
      <c r="AE152" s="26">
        <v>0</v>
      </c>
      <c r="AF152" s="26"/>
      <c r="AG152" s="26">
        <v>227878.8628032</v>
      </c>
      <c r="AH152" s="26">
        <v>0</v>
      </c>
      <c r="AI152" s="26">
        <v>6954572.4655679995</v>
      </c>
      <c r="AJ152" s="26">
        <v>0</v>
      </c>
      <c r="AK152" s="26">
        <v>5686511.6200032001</v>
      </c>
      <c r="AL152" s="26">
        <v>5351302.3282992002</v>
      </c>
      <c r="AM152" s="26">
        <v>2534177.952</v>
      </c>
      <c r="AN152" s="31">
        <v>266757.84000000003</v>
      </c>
      <c r="AO152" s="32">
        <v>510921.75165120006</v>
      </c>
      <c r="AP152" s="77">
        <f>+N152-'Приложение №2'!E152</f>
        <v>0</v>
      </c>
      <c r="AQ152" s="1">
        <f>294416.56-218510.12</f>
        <v>75906.44</v>
      </c>
      <c r="AR152" s="1">
        <f t="shared" si="45"/>
        <v>117351</v>
      </c>
      <c r="AS152" s="1">
        <f>+(K152*10+L152*20)*12*30</f>
        <v>4141800</v>
      </c>
      <c r="AT152" s="28">
        <f t="shared" si="47"/>
        <v>-3249806.9578032</v>
      </c>
    </row>
    <row r="153" spans="1:46" x14ac:dyDescent="0.25">
      <c r="A153" s="72">
        <f t="shared" si="48"/>
        <v>136</v>
      </c>
      <c r="B153" s="73">
        <f t="shared" si="48"/>
        <v>136</v>
      </c>
      <c r="C153" s="73" t="s">
        <v>46</v>
      </c>
      <c r="D153" s="120" t="s">
        <v>624</v>
      </c>
      <c r="E153" s="121">
        <v>1993</v>
      </c>
      <c r="F153" s="121">
        <v>2015</v>
      </c>
      <c r="G153" s="121" t="s">
        <v>43</v>
      </c>
      <c r="H153" s="121">
        <v>4</v>
      </c>
      <c r="I153" s="121">
        <v>2</v>
      </c>
      <c r="J153" s="107">
        <v>2573</v>
      </c>
      <c r="K153" s="107">
        <v>2088.4</v>
      </c>
      <c r="L153" s="107">
        <v>299.89999999999998</v>
      </c>
      <c r="M153" s="122">
        <v>79</v>
      </c>
      <c r="N153" s="123">
        <f t="shared" si="44"/>
        <v>2714987.2110886802</v>
      </c>
      <c r="O153" s="107"/>
      <c r="P153" s="108"/>
      <c r="Q153" s="108"/>
      <c r="R153" s="108">
        <f>+AQ153+AR153</f>
        <v>897791.1399999999</v>
      </c>
      <c r="S153" s="108">
        <f>+'Приложение №2'!E153-'Приложение №1'!P153-'Приложение №1'!Q153-'Приложение №1'!R153</f>
        <v>1817196.0710886803</v>
      </c>
      <c r="T153" s="107">
        <f>+'Приложение №2'!E153-'Приложение №1'!P153-'Приложение №1'!Q153-'Приложение №1'!R153-'Приложение №1'!S153</f>
        <v>0</v>
      </c>
      <c r="U153" s="108">
        <f t="shared" si="43"/>
        <v>1136.7865055012687</v>
      </c>
      <c r="V153" s="108">
        <f t="shared" si="43"/>
        <v>1136.7865055012687</v>
      </c>
      <c r="W153" s="135">
        <v>2022</v>
      </c>
      <c r="X153" s="28" t="e">
        <f>+#REF!-'[1]Приложение №1'!$P818</f>
        <v>#REF!</v>
      </c>
      <c r="Y153" s="1" t="s">
        <v>85</v>
      </c>
      <c r="Z153" s="30">
        <f t="shared" si="41"/>
        <v>18343019.5</v>
      </c>
      <c r="AA153" s="26">
        <v>6746829.5476327194</v>
      </c>
      <c r="AB153" s="26">
        <v>0</v>
      </c>
      <c r="AC153" s="26">
        <v>2584833.4548157803</v>
      </c>
      <c r="AD153" s="26">
        <v>0</v>
      </c>
      <c r="AE153" s="26">
        <v>0</v>
      </c>
      <c r="AF153" s="26"/>
      <c r="AG153" s="26">
        <v>222731.80747859998</v>
      </c>
      <c r="AH153" s="26">
        <v>0</v>
      </c>
      <c r="AI153" s="26">
        <v>0</v>
      </c>
      <c r="AJ153" s="26">
        <v>0</v>
      </c>
      <c r="AK153" s="26">
        <v>6590268.3256670404</v>
      </c>
      <c r="AL153" s="26">
        <v>0</v>
      </c>
      <c r="AM153" s="26">
        <v>1661875.0851000003</v>
      </c>
      <c r="AN153" s="31">
        <v>183430.19500000001</v>
      </c>
      <c r="AO153" s="32">
        <v>353051.08430586004</v>
      </c>
      <c r="AP153" s="77">
        <f>+N153-'Приложение №2'!E153</f>
        <v>0</v>
      </c>
      <c r="AQ153" s="1">
        <f>1272443.19-648848.45</f>
        <v>623594.74</v>
      </c>
      <c r="AR153" s="1">
        <f t="shared" si="45"/>
        <v>274196.39999999997</v>
      </c>
      <c r="AS153" s="1">
        <f>+(K153*10+L153*20)*12*30-5206204.7</f>
        <v>4471315.3</v>
      </c>
      <c r="AT153" s="28">
        <f t="shared" si="47"/>
        <v>-2654119.2289113197</v>
      </c>
    </row>
    <row r="154" spans="1:46" x14ac:dyDescent="0.25">
      <c r="A154" s="72">
        <f t="shared" si="48"/>
        <v>137</v>
      </c>
      <c r="B154" s="73">
        <f t="shared" si="48"/>
        <v>137</v>
      </c>
      <c r="C154" s="73" t="s">
        <v>46</v>
      </c>
      <c r="D154" s="120" t="s">
        <v>625</v>
      </c>
      <c r="E154" s="121">
        <v>1989</v>
      </c>
      <c r="F154" s="121">
        <v>2014</v>
      </c>
      <c r="G154" s="121" t="s">
        <v>43</v>
      </c>
      <c r="H154" s="121">
        <v>9</v>
      </c>
      <c r="I154" s="121">
        <v>3</v>
      </c>
      <c r="J154" s="107">
        <v>6626.1</v>
      </c>
      <c r="K154" s="107">
        <v>6102.5</v>
      </c>
      <c r="L154" s="107">
        <v>67.8</v>
      </c>
      <c r="M154" s="122">
        <v>265</v>
      </c>
      <c r="N154" s="133">
        <f t="shared" si="44"/>
        <v>49829681.060927197</v>
      </c>
      <c r="O154" s="107"/>
      <c r="P154" s="109"/>
      <c r="Q154" s="108"/>
      <c r="R154" s="108">
        <v>1277946.27</v>
      </c>
      <c r="S154" s="108">
        <f>+AS154</f>
        <v>29746469.159999996</v>
      </c>
      <c r="T154" s="108">
        <f>+'Приложение №2'!E154-'Приложение №1'!P154-'Приложение №1'!Q154-'Приложение №1'!R154-'Приложение №1'!S154</f>
        <v>18805265.630927205</v>
      </c>
      <c r="U154" s="107">
        <f t="shared" si="43"/>
        <v>8075.7306874750329</v>
      </c>
      <c r="V154" s="107">
        <f t="shared" si="43"/>
        <v>8075.7306874750329</v>
      </c>
      <c r="W154" s="135">
        <v>2022</v>
      </c>
      <c r="X154" s="28" t="e">
        <f>+#REF!-'[1]Приложение №1'!$P966</f>
        <v>#REF!</v>
      </c>
      <c r="Z154" s="30">
        <f t="shared" si="41"/>
        <v>133828117.44000001</v>
      </c>
      <c r="AA154" s="26">
        <v>13963940.488183141</v>
      </c>
      <c r="AB154" s="26">
        <v>9583521.8977096211</v>
      </c>
      <c r="AC154" s="26">
        <v>5833663.0608244799</v>
      </c>
      <c r="AD154" s="26">
        <v>5263338.7413885603</v>
      </c>
      <c r="AE154" s="26">
        <v>0</v>
      </c>
      <c r="AF154" s="26"/>
      <c r="AG154" s="26">
        <v>671777.63177280012</v>
      </c>
      <c r="AH154" s="26">
        <v>0</v>
      </c>
      <c r="AI154" s="26">
        <v>6811959.9181410009</v>
      </c>
      <c r="AJ154" s="26">
        <v>0</v>
      </c>
      <c r="AK154" s="26">
        <v>59138470.018736638</v>
      </c>
      <c r="AL154" s="26">
        <v>15552139.69889202</v>
      </c>
      <c r="AM154" s="26">
        <v>13116434.001499999</v>
      </c>
      <c r="AN154" s="31">
        <v>1338281.1743999999</v>
      </c>
      <c r="AO154" s="32">
        <v>2554590.8084517401</v>
      </c>
      <c r="AP154" s="77">
        <f>+N154-'Приложение №2'!E154</f>
        <v>0</v>
      </c>
      <c r="AQ154" s="33">
        <v>3444334.74</v>
      </c>
      <c r="AR154" s="1">
        <f>+(K154*13.29+L154*22.52)*12*0.85</f>
        <v>842816.62619999982</v>
      </c>
      <c r="AS154" s="1">
        <f>+(K154*13.29+L154*22.52)*12*30</f>
        <v>29746469.159999996</v>
      </c>
      <c r="AT154" s="28">
        <f t="shared" si="47"/>
        <v>0</v>
      </c>
    </row>
    <row r="155" spans="1:46" s="34" customFormat="1" x14ac:dyDescent="0.25">
      <c r="A155" s="72">
        <f t="shared" si="48"/>
        <v>138</v>
      </c>
      <c r="B155" s="73">
        <f t="shared" si="48"/>
        <v>138</v>
      </c>
      <c r="C155" s="73" t="s">
        <v>46</v>
      </c>
      <c r="D155" s="120" t="s">
        <v>626</v>
      </c>
      <c r="E155" s="121" t="s">
        <v>93</v>
      </c>
      <c r="F155" s="121"/>
      <c r="G155" s="121" t="s">
        <v>43</v>
      </c>
      <c r="H155" s="121" t="s">
        <v>94</v>
      </c>
      <c r="I155" s="121" t="s">
        <v>98</v>
      </c>
      <c r="J155" s="107">
        <v>2294.4</v>
      </c>
      <c r="K155" s="107">
        <v>2020</v>
      </c>
      <c r="L155" s="107">
        <v>0</v>
      </c>
      <c r="M155" s="122">
        <v>107</v>
      </c>
      <c r="N155" s="123">
        <f t="shared" si="44"/>
        <v>3072511.9939301223</v>
      </c>
      <c r="O155" s="107">
        <v>0</v>
      </c>
      <c r="P155" s="108"/>
      <c r="Q155" s="108">
        <v>0</v>
      </c>
      <c r="R155" s="108">
        <f>+AQ155+AR155</f>
        <v>1430983.7999999998</v>
      </c>
      <c r="S155" s="108">
        <f>+'Приложение №2'!E155-'Приложение №1'!R155</f>
        <v>1641528.1939301225</v>
      </c>
      <c r="T155" s="107">
        <f>+'Приложение №2'!E155-'Приложение №1'!P155-'Приложение №1'!Q155-'Приложение №1'!R155-'Приложение №1'!S155</f>
        <v>0</v>
      </c>
      <c r="U155" s="108">
        <f>N155/K155</f>
        <v>1521.0455415495655</v>
      </c>
      <c r="V155" s="108">
        <v>1172.2830200640003</v>
      </c>
      <c r="W155" s="135">
        <v>2022</v>
      </c>
      <c r="X155" s="34">
        <v>930783.73</v>
      </c>
      <c r="Y155" s="34">
        <f>+(K155*12.08+L155*20.47)*12</f>
        <v>292819.19999999995</v>
      </c>
      <c r="AA155" s="35">
        <f>+N155-'[5]Приложение № 2'!E146</f>
        <v>-1043457.4460698776</v>
      </c>
      <c r="AD155" s="35">
        <f>+N155-'[5]Приложение № 2'!E146</f>
        <v>-1043457.4460698776</v>
      </c>
      <c r="AP155" s="77">
        <f>+N155-'Приложение №2'!E155</f>
        <v>0</v>
      </c>
      <c r="AQ155" s="34">
        <v>1157156.6399999999</v>
      </c>
      <c r="AR155" s="1">
        <f>+(K155*13.29+L155*22.52)*12*0.85</f>
        <v>273827.15999999997</v>
      </c>
      <c r="AS155" s="1">
        <f>+(K155*13.29+L155*22.52)*12*30</f>
        <v>9664488</v>
      </c>
      <c r="AT155" s="28">
        <f t="shared" si="47"/>
        <v>-8022959.806069877</v>
      </c>
    </row>
    <row r="156" spans="1:46" s="34" customFormat="1" x14ac:dyDescent="0.25">
      <c r="A156" s="72">
        <f t="shared" si="48"/>
        <v>139</v>
      </c>
      <c r="B156" s="73">
        <f t="shared" si="48"/>
        <v>139</v>
      </c>
      <c r="C156" s="73" t="s">
        <v>46</v>
      </c>
      <c r="D156" s="120" t="s">
        <v>627</v>
      </c>
      <c r="E156" s="121" t="s">
        <v>93</v>
      </c>
      <c r="F156" s="121"/>
      <c r="G156" s="121" t="s">
        <v>43</v>
      </c>
      <c r="H156" s="121" t="s">
        <v>94</v>
      </c>
      <c r="I156" s="121" t="s">
        <v>98</v>
      </c>
      <c r="J156" s="107">
        <v>2291.6999999999998</v>
      </c>
      <c r="K156" s="107">
        <v>2012</v>
      </c>
      <c r="L156" s="107">
        <v>65.3</v>
      </c>
      <c r="M156" s="122">
        <v>84</v>
      </c>
      <c r="N156" s="123">
        <f t="shared" si="44"/>
        <v>3072474.8799129105</v>
      </c>
      <c r="O156" s="107">
        <v>0</v>
      </c>
      <c r="P156" s="108"/>
      <c r="Q156" s="108">
        <v>0</v>
      </c>
      <c r="R156" s="108">
        <f>+AQ156+AR156</f>
        <v>1331435.4972000001</v>
      </c>
      <c r="S156" s="108">
        <f>+'Приложение №2'!E156-'Приложение №1'!R156</f>
        <v>1741039.3827129104</v>
      </c>
      <c r="T156" s="107">
        <f>+'Приложение №2'!E156-'Приложение №1'!P156-'Приложение №1'!Q156-'Приложение №1'!R156-'Приложение №1'!S156</f>
        <v>0</v>
      </c>
      <c r="U156" s="108">
        <f>N156/K156</f>
        <v>1527.0749900163571</v>
      </c>
      <c r="V156" s="108">
        <v>1172.2830200640003</v>
      </c>
      <c r="W156" s="135">
        <v>2022</v>
      </c>
      <c r="X156" s="34">
        <v>879242.71</v>
      </c>
      <c r="Y156" s="34">
        <f>+(K156*12.08+L156*20.47)*12</f>
        <v>307699.81199999998</v>
      </c>
      <c r="AA156" s="35">
        <f>+N156-'[5]Приложение № 2'!E147</f>
        <v>-380788.350087089</v>
      </c>
      <c r="AD156" s="35">
        <f>+N156-'[5]Приложение № 2'!E147</f>
        <v>-380788.350087089</v>
      </c>
      <c r="AP156" s="77">
        <f>+N156-'Приложение №2'!E156</f>
        <v>0</v>
      </c>
      <c r="AQ156" s="34">
        <v>1043693.13</v>
      </c>
      <c r="AR156" s="1">
        <f>+(K156*13.29+L156*22.52)*12*0.85</f>
        <v>287742.36720000004</v>
      </c>
      <c r="AS156" s="1">
        <f>+(K156*13.29+L156*22.52)*12*30</f>
        <v>10155612.960000001</v>
      </c>
      <c r="AT156" s="28">
        <f t="shared" si="47"/>
        <v>-8414573.5772870909</v>
      </c>
    </row>
    <row r="157" spans="1:46" s="34" customFormat="1" x14ac:dyDescent="0.25">
      <c r="A157" s="72">
        <f t="shared" si="48"/>
        <v>140</v>
      </c>
      <c r="B157" s="73">
        <f t="shared" si="48"/>
        <v>140</v>
      </c>
      <c r="C157" s="73" t="s">
        <v>46</v>
      </c>
      <c r="D157" s="120" t="s">
        <v>628</v>
      </c>
      <c r="E157" s="121" t="s">
        <v>99</v>
      </c>
      <c r="F157" s="121"/>
      <c r="G157" s="121" t="s">
        <v>43</v>
      </c>
      <c r="H157" s="121" t="s">
        <v>94</v>
      </c>
      <c r="I157" s="121" t="s">
        <v>98</v>
      </c>
      <c r="J157" s="107">
        <v>2263.9</v>
      </c>
      <c r="K157" s="107">
        <v>2004.44</v>
      </c>
      <c r="L157" s="107">
        <v>0</v>
      </c>
      <c r="M157" s="122">
        <v>82</v>
      </c>
      <c r="N157" s="123">
        <f t="shared" si="44"/>
        <v>3072835.2361071859</v>
      </c>
      <c r="O157" s="107">
        <v>0</v>
      </c>
      <c r="P157" s="108"/>
      <c r="Q157" s="108">
        <v>0</v>
      </c>
      <c r="R157" s="108">
        <f>+AQ157+AR157</f>
        <v>1305135.01752</v>
      </c>
      <c r="S157" s="108">
        <f>+'Приложение №2'!E157-'Приложение №1'!R157</f>
        <v>1767700.218587186</v>
      </c>
      <c r="T157" s="107">
        <f>+'Приложение №2'!E157-'Приложение №1'!P157-'Приложение №1'!Q157-'Приложение №1'!R157-'Приложение №1'!S157</f>
        <v>0</v>
      </c>
      <c r="U157" s="108">
        <f>N157/K157</f>
        <v>1533.0143262493195</v>
      </c>
      <c r="V157" s="108">
        <v>1172.2830200640003</v>
      </c>
      <c r="W157" s="135">
        <v>2022</v>
      </c>
      <c r="X157" s="34">
        <v>806093.85</v>
      </c>
      <c r="Y157" s="34">
        <f>+(K157*12.08+L157*20.47)*12</f>
        <v>290563.62239999999</v>
      </c>
      <c r="AA157" s="35">
        <f>+N157-'[5]Приложение № 2'!E148</f>
        <v>-3087466.5862912149</v>
      </c>
      <c r="AD157" s="35">
        <f>+N157-'[5]Приложение № 2'!E148</f>
        <v>-3087466.5862912149</v>
      </c>
      <c r="AP157" s="77">
        <f>+N157-'Приложение №2'!E157</f>
        <v>0</v>
      </c>
      <c r="AQ157" s="34">
        <v>1033417.14</v>
      </c>
      <c r="AR157" s="1">
        <f>+(K157*13.29+L157*22.52)*12*0.85</f>
        <v>271717.87752000004</v>
      </c>
      <c r="AS157" s="1">
        <f>+(K157*13.29+L157*22.52)*12*30</f>
        <v>9590042.7360000014</v>
      </c>
      <c r="AT157" s="28">
        <f t="shared" si="47"/>
        <v>-7822342.5174128152</v>
      </c>
    </row>
    <row r="158" spans="1:46" x14ac:dyDescent="0.25">
      <c r="A158" s="72">
        <f t="shared" si="48"/>
        <v>141</v>
      </c>
      <c r="B158" s="73">
        <f t="shared" si="48"/>
        <v>141</v>
      </c>
      <c r="C158" s="73" t="s">
        <v>46</v>
      </c>
      <c r="D158" s="120" t="s">
        <v>629</v>
      </c>
      <c r="E158" s="121">
        <v>1976</v>
      </c>
      <c r="F158" s="121">
        <v>2011</v>
      </c>
      <c r="G158" s="121" t="s">
        <v>43</v>
      </c>
      <c r="H158" s="121">
        <v>5</v>
      </c>
      <c r="I158" s="121">
        <v>3</v>
      </c>
      <c r="J158" s="107">
        <v>4142.3</v>
      </c>
      <c r="K158" s="107">
        <v>3019.79</v>
      </c>
      <c r="L158" s="107">
        <v>533.29999999999995</v>
      </c>
      <c r="M158" s="122">
        <v>117</v>
      </c>
      <c r="N158" s="123">
        <f t="shared" si="44"/>
        <v>6284189.3513380401</v>
      </c>
      <c r="O158" s="107"/>
      <c r="P158" s="108">
        <v>645040.81000000006</v>
      </c>
      <c r="Q158" s="108"/>
      <c r="R158" s="108"/>
      <c r="S158" s="108">
        <f>+'Приложение №2'!E158-'Приложение №1'!P158</f>
        <v>5639148.5413380396</v>
      </c>
      <c r="T158" s="107">
        <f>+'Приложение №2'!E158-'Приложение №1'!P158-'Приложение №1'!Q158-'Приложение №1'!R158-'Приложение №1'!S158</f>
        <v>0</v>
      </c>
      <c r="U158" s="108">
        <f t="shared" ref="U158:V180" si="49">$N158/($K158+$L158)</f>
        <v>1768.6547065619052</v>
      </c>
      <c r="V158" s="108">
        <f t="shared" si="49"/>
        <v>1768.6547065619052</v>
      </c>
      <c r="W158" s="135">
        <v>2022</v>
      </c>
      <c r="X158" s="28" t="e">
        <f>+#REF!-'[1]Приложение №1'!$P1192</f>
        <v>#REF!</v>
      </c>
      <c r="Z158" s="30">
        <f t="shared" ref="Z158:Z180" si="50">SUM(AA158:AO158)</f>
        <v>14409527.60733</v>
      </c>
      <c r="AA158" s="26">
        <v>10235799.652008839</v>
      </c>
      <c r="AB158" s="26">
        <v>0</v>
      </c>
      <c r="AC158" s="26">
        <v>0</v>
      </c>
      <c r="AD158" s="26">
        <v>2771852.98</v>
      </c>
      <c r="AE158" s="26">
        <v>0</v>
      </c>
      <c r="AF158" s="26"/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977830.47720000008</v>
      </c>
      <c r="AN158" s="31">
        <v>142733.0534</v>
      </c>
      <c r="AO158" s="32">
        <v>281311.44472115999</v>
      </c>
      <c r="AP158" s="77">
        <f>+N158-'Приложение №2'!E158</f>
        <v>0</v>
      </c>
      <c r="AQ158" s="1">
        <v>1203751.1100000001</v>
      </c>
      <c r="AR158" s="1">
        <f>+(K158*10+L158*20)*12*0.85</f>
        <v>416811.78</v>
      </c>
      <c r="AS158" s="1">
        <f>+(K158*10+L158*20)*12*30</f>
        <v>14711004.000000002</v>
      </c>
      <c r="AT158" s="28">
        <f t="shared" si="47"/>
        <v>-9071855.4586619623</v>
      </c>
    </row>
    <row r="159" spans="1:46" x14ac:dyDescent="0.25">
      <c r="A159" s="72">
        <f t="shared" si="48"/>
        <v>142</v>
      </c>
      <c r="B159" s="73">
        <f t="shared" si="48"/>
        <v>142</v>
      </c>
      <c r="C159" s="73" t="s">
        <v>46</v>
      </c>
      <c r="D159" s="120" t="s">
        <v>630</v>
      </c>
      <c r="E159" s="121">
        <v>1986</v>
      </c>
      <c r="F159" s="121">
        <v>2015</v>
      </c>
      <c r="G159" s="121" t="s">
        <v>43</v>
      </c>
      <c r="H159" s="121">
        <v>9</v>
      </c>
      <c r="I159" s="121">
        <v>1</v>
      </c>
      <c r="J159" s="107">
        <v>2267.6999999999998</v>
      </c>
      <c r="K159" s="107">
        <v>1885.78</v>
      </c>
      <c r="L159" s="107">
        <v>353.8</v>
      </c>
      <c r="M159" s="122">
        <v>71</v>
      </c>
      <c r="N159" s="123">
        <f t="shared" si="44"/>
        <v>863296.86591239995</v>
      </c>
      <c r="O159" s="107"/>
      <c r="P159" s="108"/>
      <c r="Q159" s="108"/>
      <c r="R159" s="108">
        <f>+'Приложение №2'!E159-'Приложение №1'!S159</f>
        <v>80395.895912399981</v>
      </c>
      <c r="S159" s="108">
        <v>782900.97</v>
      </c>
      <c r="T159" s="107">
        <f>+'Приложение №2'!E159-'Приложение №1'!P159-'Приложение №1'!Q159-'Приложение №1'!R159-'Приложение №1'!S159</f>
        <v>0</v>
      </c>
      <c r="U159" s="108">
        <f t="shared" si="49"/>
        <v>385.4726626922905</v>
      </c>
      <c r="V159" s="108">
        <f t="shared" si="49"/>
        <v>385.4726626922905</v>
      </c>
      <c r="W159" s="135">
        <v>2022</v>
      </c>
      <c r="X159" s="28" t="e">
        <f>+#REF!-'[1]Приложение №1'!$P499</f>
        <v>#REF!</v>
      </c>
      <c r="Z159" s="30">
        <f t="shared" si="50"/>
        <v>4290984.03</v>
      </c>
      <c r="AA159" s="26">
        <v>0</v>
      </c>
      <c r="AB159" s="26">
        <v>0</v>
      </c>
      <c r="AC159" s="26">
        <v>1932684.6731463599</v>
      </c>
      <c r="AD159" s="26">
        <v>1743736.9969412398</v>
      </c>
      <c r="AE159" s="26">
        <v>0</v>
      </c>
      <c r="AF159" s="26"/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491256.6237</v>
      </c>
      <c r="AN159" s="31">
        <v>42909.840299999996</v>
      </c>
      <c r="AO159" s="32">
        <v>80395.895912399996</v>
      </c>
      <c r="AP159" s="77">
        <f>+N159-'Приложение №2'!E159</f>
        <v>0</v>
      </c>
      <c r="AQ159" s="1">
        <v>1383560.53</v>
      </c>
      <c r="AR159" s="1">
        <f>+(K159*13.29+L159*22.52)*12*0.85</f>
        <v>336901.84044</v>
      </c>
      <c r="AS159" s="1">
        <f>+(K159*13.29+L159*22.52)*12*30-1239264.3</f>
        <v>10651388.891999999</v>
      </c>
      <c r="AT159" s="28">
        <f t="shared" si="47"/>
        <v>-9868487.9219999984</v>
      </c>
    </row>
    <row r="160" spans="1:46" x14ac:dyDescent="0.25">
      <c r="A160" s="72">
        <f t="shared" si="48"/>
        <v>143</v>
      </c>
      <c r="B160" s="73">
        <f t="shared" si="48"/>
        <v>143</v>
      </c>
      <c r="C160" s="73" t="s">
        <v>46</v>
      </c>
      <c r="D160" s="120" t="s">
        <v>631</v>
      </c>
      <c r="E160" s="121">
        <v>1985</v>
      </c>
      <c r="F160" s="121">
        <v>2015</v>
      </c>
      <c r="G160" s="121" t="s">
        <v>43</v>
      </c>
      <c r="H160" s="121">
        <v>9</v>
      </c>
      <c r="I160" s="121">
        <v>1</v>
      </c>
      <c r="J160" s="107">
        <v>2293.5</v>
      </c>
      <c r="K160" s="107">
        <v>1892.9</v>
      </c>
      <c r="L160" s="107">
        <v>103.9</v>
      </c>
      <c r="M160" s="122">
        <v>75</v>
      </c>
      <c r="N160" s="123">
        <f t="shared" si="44"/>
        <v>11321051.292631399</v>
      </c>
      <c r="O160" s="107"/>
      <c r="P160" s="108">
        <v>4582722.4000000004</v>
      </c>
      <c r="Q160" s="108"/>
      <c r="R160" s="108"/>
      <c r="S160" s="108">
        <f>+'Приложение №2'!E160-'Приложение №1'!P160</f>
        <v>6738328.8926313985</v>
      </c>
      <c r="T160" s="107">
        <f>+'Приложение №2'!E160-'Приложение №1'!P160-'Приложение №1'!Q160-'Приложение №1'!R160-'Приложение №1'!S160</f>
        <v>0</v>
      </c>
      <c r="U160" s="108">
        <f t="shared" si="49"/>
        <v>5669.5970015181283</v>
      </c>
      <c r="V160" s="108">
        <f t="shared" si="49"/>
        <v>5669.5970015181283</v>
      </c>
      <c r="W160" s="135">
        <v>2022</v>
      </c>
      <c r="X160" s="28" t="e">
        <f>+#REF!-'[1]Приложение №1'!$P1195</f>
        <v>#REF!</v>
      </c>
      <c r="Z160" s="30">
        <f t="shared" si="50"/>
        <v>19409539.310000002</v>
      </c>
      <c r="AA160" s="26">
        <v>4657498.8457725001</v>
      </c>
      <c r="AB160" s="26">
        <v>3196464.6551275197</v>
      </c>
      <c r="AC160" s="26">
        <v>1945745.8302928801</v>
      </c>
      <c r="AD160" s="26">
        <v>1755521.2429481999</v>
      </c>
      <c r="AE160" s="26">
        <v>0</v>
      </c>
      <c r="AF160" s="26"/>
      <c r="AG160" s="26">
        <v>224063.08219680001</v>
      </c>
      <c r="AH160" s="26">
        <v>0</v>
      </c>
      <c r="AI160" s="26">
        <v>0</v>
      </c>
      <c r="AJ160" s="26">
        <v>0</v>
      </c>
      <c r="AK160" s="26">
        <v>0</v>
      </c>
      <c r="AL160" s="26">
        <v>5187222.9645671407</v>
      </c>
      <c r="AM160" s="26">
        <v>1877903.9405</v>
      </c>
      <c r="AN160" s="31">
        <v>194095.39309999999</v>
      </c>
      <c r="AO160" s="32">
        <v>371023.35549496004</v>
      </c>
      <c r="AP160" s="77">
        <f>+N160-'Приложение №2'!E160</f>
        <v>0</v>
      </c>
      <c r="AQ160" s="1">
        <v>1237727.3</v>
      </c>
      <c r="AR160" s="1">
        <f>+(K160*13.29+L160*22.52)*12*0.85</f>
        <v>280463.98379999999</v>
      </c>
      <c r="AS160" s="1">
        <f>+(K160*13.29+L160*22.52)*12*30</f>
        <v>9898728.8399999999</v>
      </c>
      <c r="AT160" s="28">
        <f t="shared" si="47"/>
        <v>-3160399.9473686013</v>
      </c>
    </row>
    <row r="161" spans="1:51" x14ac:dyDescent="0.25">
      <c r="A161" s="72">
        <f t="shared" si="48"/>
        <v>144</v>
      </c>
      <c r="B161" s="73">
        <f t="shared" si="48"/>
        <v>144</v>
      </c>
      <c r="C161" s="73" t="s">
        <v>46</v>
      </c>
      <c r="D161" s="120" t="s">
        <v>632</v>
      </c>
      <c r="E161" s="121">
        <v>1975</v>
      </c>
      <c r="F161" s="121">
        <v>2013</v>
      </c>
      <c r="G161" s="121" t="s">
        <v>43</v>
      </c>
      <c r="H161" s="121">
        <v>4</v>
      </c>
      <c r="I161" s="121">
        <v>3</v>
      </c>
      <c r="J161" s="107">
        <v>2231.4</v>
      </c>
      <c r="K161" s="107">
        <v>2050.6999999999998</v>
      </c>
      <c r="L161" s="107">
        <v>57.4</v>
      </c>
      <c r="M161" s="122">
        <v>91</v>
      </c>
      <c r="N161" s="123">
        <f t="shared" si="44"/>
        <v>498098.01</v>
      </c>
      <c r="O161" s="107"/>
      <c r="P161" s="108"/>
      <c r="Q161" s="108"/>
      <c r="R161" s="108"/>
      <c r="S161" s="108">
        <f>+'Приложение №2'!E161-'Приложение №1'!P161-'Приложение №1'!Q161-'Приложение №1'!R161</f>
        <v>498098.01</v>
      </c>
      <c r="T161" s="107">
        <f>+'Приложение №2'!E161-'Приложение №1'!P161-'Приложение №1'!Q161-'Приложение №1'!R161-'Приложение №1'!S161</f>
        <v>0</v>
      </c>
      <c r="U161" s="108">
        <f t="shared" si="49"/>
        <v>236.27816991603817</v>
      </c>
      <c r="V161" s="108">
        <f t="shared" si="49"/>
        <v>236.27816991603817</v>
      </c>
      <c r="W161" s="135">
        <v>2022</v>
      </c>
      <c r="X161" s="28" t="e">
        <f>+#REF!-'[1]Приложение №1'!$P501</f>
        <v>#REF!</v>
      </c>
      <c r="Z161" s="30">
        <f t="shared" si="50"/>
        <v>31294041.869999997</v>
      </c>
      <c r="AA161" s="26">
        <v>0</v>
      </c>
      <c r="AB161" s="26">
        <v>2153754.7550966996</v>
      </c>
      <c r="AC161" s="26">
        <v>2250168.3177519003</v>
      </c>
      <c r="AD161" s="26">
        <v>0</v>
      </c>
      <c r="AE161" s="26">
        <v>0</v>
      </c>
      <c r="AF161" s="26"/>
      <c r="AG161" s="26">
        <v>0</v>
      </c>
      <c r="AH161" s="26">
        <v>0</v>
      </c>
      <c r="AI161" s="26">
        <v>11049571.316473201</v>
      </c>
      <c r="AJ161" s="26">
        <v>0</v>
      </c>
      <c r="AK161" s="26">
        <v>5737009.0626080399</v>
      </c>
      <c r="AL161" s="26">
        <v>6187940.5055416208</v>
      </c>
      <c r="AM161" s="26">
        <v>3003946.3752000001</v>
      </c>
      <c r="AN161" s="31">
        <v>312940.41869999998</v>
      </c>
      <c r="AO161" s="32">
        <v>598711.11862854008</v>
      </c>
      <c r="AP161" s="77">
        <f>+N161-'Приложение №2'!E161</f>
        <v>0</v>
      </c>
      <c r="AQ161" s="1">
        <v>972243.21</v>
      </c>
      <c r="AR161" s="1">
        <f>+(K161*10+L161*20)*12*0.85</f>
        <v>220881</v>
      </c>
      <c r="AS161" s="1">
        <f>+(K161*10+L161*20)*12*30</f>
        <v>7795800</v>
      </c>
      <c r="AT161" s="28">
        <f t="shared" si="47"/>
        <v>-7297701.9900000002</v>
      </c>
    </row>
    <row r="162" spans="1:51" x14ac:dyDescent="0.25">
      <c r="A162" s="72">
        <f t="shared" si="48"/>
        <v>145</v>
      </c>
      <c r="B162" s="73">
        <f t="shared" si="48"/>
        <v>145</v>
      </c>
      <c r="C162" s="73" t="s">
        <v>46</v>
      </c>
      <c r="D162" s="120" t="s">
        <v>222</v>
      </c>
      <c r="E162" s="121">
        <v>1974</v>
      </c>
      <c r="F162" s="121">
        <v>2014</v>
      </c>
      <c r="G162" s="121" t="s">
        <v>43</v>
      </c>
      <c r="H162" s="121">
        <v>4</v>
      </c>
      <c r="I162" s="121">
        <v>6</v>
      </c>
      <c r="J162" s="107">
        <v>4464.7</v>
      </c>
      <c r="K162" s="107">
        <v>4072.9</v>
      </c>
      <c r="L162" s="107">
        <v>35.1</v>
      </c>
      <c r="M162" s="122">
        <v>161</v>
      </c>
      <c r="N162" s="123">
        <f t="shared" si="44"/>
        <v>2689617.46</v>
      </c>
      <c r="O162" s="107"/>
      <c r="P162" s="108">
        <v>1182697.55</v>
      </c>
      <c r="Q162" s="108"/>
      <c r="R162" s="108">
        <v>1506919.91</v>
      </c>
      <c r="S162" s="108"/>
      <c r="T162" s="107">
        <f>+'Приложение №2'!E162-'Приложение №1'!P162-'Приложение №1'!Q162-'Приложение №1'!R162-'Приложение №1'!S162</f>
        <v>0</v>
      </c>
      <c r="U162" s="108">
        <f t="shared" si="49"/>
        <v>654.72674294060369</v>
      </c>
      <c r="V162" s="108">
        <f t="shared" si="49"/>
        <v>654.72674294060369</v>
      </c>
      <c r="W162" s="135">
        <v>2022</v>
      </c>
      <c r="X162" s="28" t="e">
        <f>+#REF!-'[1]Приложение №1'!$P1619</f>
        <v>#REF!</v>
      </c>
      <c r="Z162" s="30">
        <f t="shared" si="50"/>
        <v>5164492.49</v>
      </c>
      <c r="AA162" s="26">
        <v>0</v>
      </c>
      <c r="AB162" s="26">
        <v>0</v>
      </c>
      <c r="AC162" s="26">
        <v>4498035.3921354599</v>
      </c>
      <c r="AD162" s="26">
        <v>0</v>
      </c>
      <c r="AE162" s="26">
        <v>0</v>
      </c>
      <c r="AF162" s="26"/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516449.24900000007</v>
      </c>
      <c r="AN162" s="31">
        <v>51644.924900000005</v>
      </c>
      <c r="AO162" s="32">
        <v>98362.923964540008</v>
      </c>
      <c r="AP162" s="77">
        <f>+N162-'Приложение №2'!E162</f>
        <v>0</v>
      </c>
      <c r="AQ162" s="1">
        <v>1783982.53</v>
      </c>
      <c r="AR162" s="1">
        <f>+(K162*10+L162*20)*12*0.85</f>
        <v>422596.2</v>
      </c>
      <c r="AS162" s="1">
        <f>+(K162*10+L162*20)*12*30</f>
        <v>14915160</v>
      </c>
      <c r="AT162" s="28">
        <f t="shared" si="47"/>
        <v>-14915160</v>
      </c>
    </row>
    <row r="163" spans="1:51" s="82" customFormat="1" x14ac:dyDescent="0.25">
      <c r="A163" s="72">
        <f t="shared" ref="A163:B178" si="51">+A162+1</f>
        <v>146</v>
      </c>
      <c r="B163" s="73">
        <f t="shared" si="51"/>
        <v>146</v>
      </c>
      <c r="C163" s="73" t="s">
        <v>46</v>
      </c>
      <c r="D163" s="120" t="s">
        <v>633</v>
      </c>
      <c r="E163" s="121">
        <v>1989</v>
      </c>
      <c r="F163" s="121">
        <v>2015</v>
      </c>
      <c r="G163" s="121" t="s">
        <v>43</v>
      </c>
      <c r="H163" s="121">
        <v>9</v>
      </c>
      <c r="I163" s="121">
        <v>4</v>
      </c>
      <c r="J163" s="107">
        <v>9199.2999999999993</v>
      </c>
      <c r="K163" s="107">
        <v>8072</v>
      </c>
      <c r="L163" s="107">
        <v>65.599999999999994</v>
      </c>
      <c r="M163" s="122">
        <v>366</v>
      </c>
      <c r="N163" s="133">
        <f t="shared" si="44"/>
        <v>25727773.27</v>
      </c>
      <c r="O163" s="107"/>
      <c r="P163" s="108"/>
      <c r="Q163" s="108"/>
      <c r="R163" s="108">
        <v>1050151.8600000001</v>
      </c>
      <c r="S163" s="108">
        <f>+AS163</f>
        <v>24677621.41</v>
      </c>
      <c r="T163" s="108">
        <f>+'Приложение №2'!E163-'Приложение №1'!P163-'Приложение №1'!Q163-'Приложение №1'!R163-'Приложение №1'!S163</f>
        <v>0</v>
      </c>
      <c r="U163" s="107">
        <f t="shared" si="49"/>
        <v>3161.5922716771529</v>
      </c>
      <c r="V163" s="107">
        <f t="shared" si="49"/>
        <v>3161.5922716771529</v>
      </c>
      <c r="W163" s="135">
        <v>2022</v>
      </c>
      <c r="X163" s="81" t="e">
        <f>+#REF!-'[1]Приложение №1'!$P1207</f>
        <v>#REF!</v>
      </c>
      <c r="Z163" s="83">
        <f t="shared" si="50"/>
        <v>77772109.160000011</v>
      </c>
      <c r="AA163" s="79">
        <v>18662138.402554922</v>
      </c>
      <c r="AB163" s="79">
        <v>12807918.526641842</v>
      </c>
      <c r="AC163" s="79">
        <v>7796411.5854290398</v>
      </c>
      <c r="AD163" s="79">
        <v>7034200.4194895998</v>
      </c>
      <c r="AE163" s="79">
        <v>0</v>
      </c>
      <c r="AF163" s="79"/>
      <c r="AG163" s="79">
        <v>897798.66553440015</v>
      </c>
      <c r="AH163" s="79">
        <v>0</v>
      </c>
      <c r="AI163" s="79">
        <v>0</v>
      </c>
      <c r="AJ163" s="79">
        <v>0</v>
      </c>
      <c r="AK163" s="79">
        <v>0</v>
      </c>
      <c r="AL163" s="79">
        <v>20784690.663111482</v>
      </c>
      <c r="AM163" s="79">
        <v>7524575.8236000016</v>
      </c>
      <c r="AN163" s="78">
        <v>777721.09159999993</v>
      </c>
      <c r="AO163" s="84">
        <v>1486653.9820387203</v>
      </c>
      <c r="AP163" s="77">
        <f>+N163-'Приложение №2'!E163</f>
        <v>0</v>
      </c>
      <c r="AQ163" s="82">
        <v>4641267.93</v>
      </c>
      <c r="AR163" s="82">
        <f>+(K163*13.29+L163*22.52)*12*0.85</f>
        <v>1109292.7583999999</v>
      </c>
      <c r="AS163" s="82">
        <v>24677621.41</v>
      </c>
      <c r="AT163" s="28">
        <f t="shared" si="47"/>
        <v>0</v>
      </c>
    </row>
    <row r="164" spans="1:51" x14ac:dyDescent="0.25">
      <c r="A164" s="72">
        <f t="shared" si="51"/>
        <v>147</v>
      </c>
      <c r="B164" s="73">
        <f t="shared" si="51"/>
        <v>147</v>
      </c>
      <c r="C164" s="73" t="s">
        <v>46</v>
      </c>
      <c r="D164" s="120" t="s">
        <v>634</v>
      </c>
      <c r="E164" s="121">
        <v>1992</v>
      </c>
      <c r="F164" s="121">
        <v>2015</v>
      </c>
      <c r="G164" s="121" t="s">
        <v>43</v>
      </c>
      <c r="H164" s="121">
        <v>9</v>
      </c>
      <c r="I164" s="121">
        <v>3</v>
      </c>
      <c r="J164" s="107">
        <v>6872</v>
      </c>
      <c r="K164" s="107">
        <v>6094.4</v>
      </c>
      <c r="L164" s="107">
        <v>0</v>
      </c>
      <c r="M164" s="122">
        <v>259</v>
      </c>
      <c r="N164" s="123">
        <f t="shared" ref="N164:N195" si="52">+P164+Q164+R164+S164+T164</f>
        <v>9962928.3052925188</v>
      </c>
      <c r="O164" s="107"/>
      <c r="P164" s="108">
        <f>[8]Лист1!$I$152+[8]Лист1!$I$189</f>
        <v>5994717.7699999996</v>
      </c>
      <c r="Q164" s="108"/>
      <c r="R164" s="108"/>
      <c r="S164" s="108">
        <f>+'Приложение №2'!E164-'Приложение №1'!P164-'Приложение №1'!R164-'Приложение №1'!T164</f>
        <v>3968210.5352925193</v>
      </c>
      <c r="T164" s="107"/>
      <c r="U164" s="108">
        <f t="shared" si="49"/>
        <v>1634.7677056465805</v>
      </c>
      <c r="V164" s="108">
        <f t="shared" si="49"/>
        <v>1634.7677056465805</v>
      </c>
      <c r="W164" s="135">
        <v>2022</v>
      </c>
      <c r="X164" s="28" t="e">
        <f>+#REF!-'[1]Приложение №1'!$P829</f>
        <v>#REF!</v>
      </c>
      <c r="Y164" s="1" t="s">
        <v>85</v>
      </c>
      <c r="Z164" s="30">
        <f t="shared" si="50"/>
        <v>58070573.899999999</v>
      </c>
      <c r="AA164" s="26">
        <v>13934572.418976301</v>
      </c>
      <c r="AB164" s="26">
        <v>9563366.4457228798</v>
      </c>
      <c r="AC164" s="26">
        <v>5821394.0711791199</v>
      </c>
      <c r="AD164" s="26">
        <v>5252269.220784599</v>
      </c>
      <c r="AE164" s="26">
        <v>0</v>
      </c>
      <c r="AF164" s="26"/>
      <c r="AG164" s="26">
        <v>670364.7917232</v>
      </c>
      <c r="AH164" s="26">
        <v>0</v>
      </c>
      <c r="AI164" s="26">
        <v>0</v>
      </c>
      <c r="AJ164" s="26">
        <v>0</v>
      </c>
      <c r="AK164" s="26">
        <v>0</v>
      </c>
      <c r="AL164" s="26">
        <v>15519431.430770401</v>
      </c>
      <c r="AM164" s="26">
        <v>5618420.8085000012</v>
      </c>
      <c r="AN164" s="31">
        <v>580705.73900000006</v>
      </c>
      <c r="AO164" s="32">
        <v>1110048.9733435002</v>
      </c>
      <c r="AP164" s="77">
        <f>+N164-'Приложение №2'!E164</f>
        <v>0</v>
      </c>
      <c r="AQ164" s="1">
        <f>3336709.09-263343.45</f>
        <v>3073365.6399999997</v>
      </c>
      <c r="AR164" s="1">
        <f>+(K164*13.29+L164*22.52)*12*0.85</f>
        <v>826144.67519999982</v>
      </c>
      <c r="AS164" s="1">
        <f>+(K164*13.29+L164*22.52)*12*30-1442656.44</f>
        <v>27715390.919999991</v>
      </c>
      <c r="AT164" s="28">
        <f t="shared" si="47"/>
        <v>-23747180.384707473</v>
      </c>
    </row>
    <row r="165" spans="1:51" x14ac:dyDescent="0.25">
      <c r="A165" s="72">
        <f t="shared" si="51"/>
        <v>148</v>
      </c>
      <c r="B165" s="73">
        <f t="shared" si="51"/>
        <v>148</v>
      </c>
      <c r="C165" s="73" t="s">
        <v>46</v>
      </c>
      <c r="D165" s="120" t="s">
        <v>635</v>
      </c>
      <c r="E165" s="121">
        <v>1984</v>
      </c>
      <c r="F165" s="121">
        <v>2013</v>
      </c>
      <c r="G165" s="121" t="s">
        <v>43</v>
      </c>
      <c r="H165" s="121">
        <v>9</v>
      </c>
      <c r="I165" s="121">
        <v>2</v>
      </c>
      <c r="J165" s="107">
        <v>8198.7000000000007</v>
      </c>
      <c r="K165" s="107">
        <v>7324.41</v>
      </c>
      <c r="L165" s="107">
        <v>0</v>
      </c>
      <c r="M165" s="122">
        <v>272</v>
      </c>
      <c r="N165" s="123">
        <f t="shared" si="52"/>
        <v>53790180.380000003</v>
      </c>
      <c r="O165" s="107"/>
      <c r="P165" s="108">
        <v>10676631.48</v>
      </c>
      <c r="Q165" s="108"/>
      <c r="R165" s="108">
        <v>1088675.32</v>
      </c>
      <c r="S165" s="108">
        <f>+'Приложение №2'!E165-'Приложение №1'!P165-'Приложение №1'!R165-'Приложение №1'!T165</f>
        <v>30794766.453999996</v>
      </c>
      <c r="T165" s="107">
        <v>11230107.126000009</v>
      </c>
      <c r="U165" s="108">
        <f t="shared" si="49"/>
        <v>7343.9608623766289</v>
      </c>
      <c r="V165" s="108">
        <f t="shared" si="49"/>
        <v>7343.9608623766289</v>
      </c>
      <c r="W165" s="135">
        <v>2022</v>
      </c>
      <c r="X165" s="28" t="e">
        <f>+#REF!-'[1]Приложение №1'!$P831</f>
        <v>#REF!</v>
      </c>
      <c r="Z165" s="30">
        <f t="shared" si="50"/>
        <v>153375371.99000001</v>
      </c>
      <c r="AA165" s="26">
        <v>16985175.195665035</v>
      </c>
      <c r="AB165" s="26">
        <v>11657010.324734461</v>
      </c>
      <c r="AC165" s="26">
        <v>7095832.9536935398</v>
      </c>
      <c r="AD165" s="26">
        <v>6402113.40647172</v>
      </c>
      <c r="AE165" s="26">
        <v>0</v>
      </c>
      <c r="AF165" s="26"/>
      <c r="AG165" s="26">
        <v>817123.27375728008</v>
      </c>
      <c r="AH165" s="26">
        <v>0</v>
      </c>
      <c r="AI165" s="26">
        <v>0</v>
      </c>
      <c r="AJ165" s="26">
        <v>0</v>
      </c>
      <c r="AK165" s="26">
        <v>71933654.736292869</v>
      </c>
      <c r="AL165" s="26">
        <v>18916996.795183621</v>
      </c>
      <c r="AM165" s="26">
        <v>15107603.671900002</v>
      </c>
      <c r="AN165" s="31">
        <v>1533753.7199000001</v>
      </c>
      <c r="AO165" s="32">
        <v>2926107.9124014801</v>
      </c>
      <c r="AP165" s="77">
        <f>+N165-'Приложение №2'!E165</f>
        <v>0</v>
      </c>
      <c r="AQ165" s="1">
        <f>4296548.24-1633012.98</f>
        <v>2663535.2600000002</v>
      </c>
      <c r="AR165" s="1">
        <f>+(K165*13.29+L165*22.52)*12*0.85</f>
        <v>992882.37078</v>
      </c>
      <c r="AS165" s="1">
        <f>+(K165*13.29+L165*22.52)*12*30-4248140.75</f>
        <v>30794766.453999996</v>
      </c>
      <c r="AT165" s="28">
        <f t="shared" si="47"/>
        <v>0</v>
      </c>
    </row>
    <row r="166" spans="1:51" x14ac:dyDescent="0.25">
      <c r="A166" s="72">
        <f t="shared" si="51"/>
        <v>149</v>
      </c>
      <c r="B166" s="73">
        <f t="shared" si="51"/>
        <v>149</v>
      </c>
      <c r="C166" s="73" t="s">
        <v>46</v>
      </c>
      <c r="D166" s="120" t="s">
        <v>636</v>
      </c>
      <c r="E166" s="121">
        <v>1981</v>
      </c>
      <c r="F166" s="121">
        <v>2012</v>
      </c>
      <c r="G166" s="121" t="s">
        <v>43</v>
      </c>
      <c r="H166" s="121">
        <v>5</v>
      </c>
      <c r="I166" s="121">
        <v>7</v>
      </c>
      <c r="J166" s="107">
        <v>6927.5</v>
      </c>
      <c r="K166" s="107">
        <v>5314.16</v>
      </c>
      <c r="L166" s="107">
        <v>83.1</v>
      </c>
      <c r="M166" s="122">
        <v>173</v>
      </c>
      <c r="N166" s="123">
        <f t="shared" si="52"/>
        <v>17169391.084560137</v>
      </c>
      <c r="O166" s="107"/>
      <c r="P166" s="108">
        <f>681444.46-[3]Лист1!$I$11</f>
        <v>0</v>
      </c>
      <c r="Q166" s="108"/>
      <c r="R166" s="108">
        <v>1307532.44</v>
      </c>
      <c r="S166" s="108">
        <f>+'Приложение №2'!E166-'Приложение №1'!P166-'Приложение №1'!Q166-'Приложение №1'!R166</f>
        <v>15861858.644560138</v>
      </c>
      <c r="T166" s="107">
        <f>+'Приложение №2'!E166-'Приложение №1'!P166-'Приложение №1'!Q166-'Приложение №1'!R166-'Приложение №1'!S166</f>
        <v>0</v>
      </c>
      <c r="U166" s="108">
        <f t="shared" si="49"/>
        <v>3181.1309969429185</v>
      </c>
      <c r="V166" s="108">
        <f t="shared" si="49"/>
        <v>3181.1309969429185</v>
      </c>
      <c r="W166" s="135">
        <v>2022</v>
      </c>
      <c r="X166" s="28" t="e">
        <f>+#REF!-'[1]Приложение №1'!$P1205</f>
        <v>#REF!</v>
      </c>
      <c r="Z166" s="30">
        <f t="shared" si="50"/>
        <v>106077568.56999999</v>
      </c>
      <c r="AA166" s="26">
        <v>18055119.95713608</v>
      </c>
      <c r="AB166" s="26">
        <v>0</v>
      </c>
      <c r="AC166" s="26">
        <v>0</v>
      </c>
      <c r="AD166" s="26">
        <v>4330714.8848485211</v>
      </c>
      <c r="AE166" s="26">
        <v>0</v>
      </c>
      <c r="AF166" s="26"/>
      <c r="AG166" s="26">
        <v>0</v>
      </c>
      <c r="AH166" s="26">
        <v>0</v>
      </c>
      <c r="AI166" s="26">
        <v>33967503.6578262</v>
      </c>
      <c r="AJ166" s="26">
        <v>0</v>
      </c>
      <c r="AK166" s="26">
        <v>17636148.100577578</v>
      </c>
      <c r="AL166" s="26">
        <v>19022357.136998877</v>
      </c>
      <c r="AM166" s="26">
        <v>9970968.5052000005</v>
      </c>
      <c r="AN166" s="31">
        <v>1060775.6857</v>
      </c>
      <c r="AO166" s="32">
        <v>2033980.6417127401</v>
      </c>
      <c r="AP166" s="77">
        <f>+N166-'Приложение №2'!E166</f>
        <v>0</v>
      </c>
      <c r="AQ166" s="1">
        <v>2353388.21</v>
      </c>
      <c r="AR166" s="1">
        <f>+(K166*10+L166*20)*12*0.85</f>
        <v>558996.72</v>
      </c>
      <c r="AS166" s="1">
        <f>+(K166*10+L166*20)*12*30</f>
        <v>19729296</v>
      </c>
      <c r="AT166" s="28">
        <f t="shared" si="47"/>
        <v>-3867437.3554398622</v>
      </c>
    </row>
    <row r="167" spans="1:51" x14ac:dyDescent="0.25">
      <c r="A167" s="72">
        <f t="shared" si="51"/>
        <v>150</v>
      </c>
      <c r="B167" s="73">
        <f t="shared" si="51"/>
        <v>150</v>
      </c>
      <c r="C167" s="73" t="s">
        <v>46</v>
      </c>
      <c r="D167" s="120" t="s">
        <v>637</v>
      </c>
      <c r="E167" s="121">
        <v>1993</v>
      </c>
      <c r="F167" s="121">
        <v>2014</v>
      </c>
      <c r="G167" s="121" t="s">
        <v>43</v>
      </c>
      <c r="H167" s="121">
        <v>9</v>
      </c>
      <c r="I167" s="121">
        <v>1</v>
      </c>
      <c r="J167" s="107">
        <v>2553.4</v>
      </c>
      <c r="K167" s="107">
        <v>2128.8000000000002</v>
      </c>
      <c r="L167" s="107">
        <v>0</v>
      </c>
      <c r="M167" s="122">
        <v>78</v>
      </c>
      <c r="N167" s="123">
        <f t="shared" si="52"/>
        <v>1160745.41417932</v>
      </c>
      <c r="O167" s="107"/>
      <c r="P167" s="108"/>
      <c r="Q167" s="108"/>
      <c r="R167" s="108">
        <v>597799.18099999998</v>
      </c>
      <c r="S167" s="108">
        <f>+'Приложение №2'!E167-'Приложение №1'!P167-'Приложение №1'!Q167-'Приложение №1'!R167</f>
        <v>562946.23317932</v>
      </c>
      <c r="T167" s="107">
        <f>+'Приложение №2'!E167-'Приложение №1'!P167-'Приложение №1'!Q167-'Приложение №1'!R167-'Приложение №1'!S167</f>
        <v>0</v>
      </c>
      <c r="U167" s="108">
        <f t="shared" si="49"/>
        <v>545.25808633000747</v>
      </c>
      <c r="V167" s="108">
        <f t="shared" si="49"/>
        <v>545.25808633000747</v>
      </c>
      <c r="W167" s="135">
        <v>2022</v>
      </c>
      <c r="X167" s="28" t="e">
        <f>+#REF!-'[1]Приложение №1'!$P833</f>
        <v>#REF!</v>
      </c>
      <c r="Z167" s="30">
        <f t="shared" si="50"/>
        <v>44395710.680000007</v>
      </c>
      <c r="AA167" s="26">
        <v>4916492.8733411394</v>
      </c>
      <c r="AB167" s="26">
        <v>3374213.5460846401</v>
      </c>
      <c r="AC167" s="26">
        <v>2053944.7940944801</v>
      </c>
      <c r="AD167" s="26">
        <v>1853142.2046320401</v>
      </c>
      <c r="AE167" s="26">
        <v>0</v>
      </c>
      <c r="AF167" s="26"/>
      <c r="AG167" s="26">
        <v>236522.77397279997</v>
      </c>
      <c r="AH167" s="26">
        <v>0</v>
      </c>
      <c r="AI167" s="26">
        <v>0</v>
      </c>
      <c r="AJ167" s="26">
        <v>0</v>
      </c>
      <c r="AK167" s="26">
        <v>20821763.508175142</v>
      </c>
      <c r="AL167" s="26">
        <v>5475673.8714455394</v>
      </c>
      <c r="AM167" s="26">
        <v>4373014.9959000014</v>
      </c>
      <c r="AN167" s="31">
        <v>443957.10680000001</v>
      </c>
      <c r="AO167" s="32">
        <v>846985.00555422006</v>
      </c>
      <c r="AP167" s="77">
        <f>+N167-'Приложение №2'!E167</f>
        <v>0</v>
      </c>
      <c r="AQ167" s="1">
        <f>1103126.79-79353.74-714183.7328</f>
        <v>309589.31720000005</v>
      </c>
      <c r="AR167" s="1">
        <f>+(K167*13.29+L167*22.52)*12*0.85</f>
        <v>288575.87039999996</v>
      </c>
      <c r="AS167" s="1">
        <f>+(K167*13.29+L167*22.52)*12*30-300950.5-2600695.91</f>
        <v>7283384.3099999987</v>
      </c>
      <c r="AT167" s="28">
        <f t="shared" si="47"/>
        <v>-6720438.076820679</v>
      </c>
    </row>
    <row r="168" spans="1:51" x14ac:dyDescent="0.25">
      <c r="A168" s="72">
        <f t="shared" si="51"/>
        <v>151</v>
      </c>
      <c r="B168" s="73">
        <f t="shared" si="51"/>
        <v>151</v>
      </c>
      <c r="C168" s="73" t="s">
        <v>46</v>
      </c>
      <c r="D168" s="120" t="s">
        <v>638</v>
      </c>
      <c r="E168" s="121">
        <v>1972</v>
      </c>
      <c r="F168" s="121">
        <v>2013</v>
      </c>
      <c r="G168" s="121" t="s">
        <v>43</v>
      </c>
      <c r="H168" s="121">
        <v>4</v>
      </c>
      <c r="I168" s="121">
        <v>6</v>
      </c>
      <c r="J168" s="107">
        <v>4437.8999999999996</v>
      </c>
      <c r="K168" s="107">
        <v>4088.2</v>
      </c>
      <c r="L168" s="107">
        <v>0</v>
      </c>
      <c r="M168" s="122">
        <v>207</v>
      </c>
      <c r="N168" s="123">
        <f t="shared" si="52"/>
        <v>8066054.8088218002</v>
      </c>
      <c r="O168" s="107"/>
      <c r="P168" s="108">
        <v>2746655.59</v>
      </c>
      <c r="Q168" s="108"/>
      <c r="R168" s="108">
        <v>501539.16</v>
      </c>
      <c r="S168" s="108">
        <f>+'Приложение №2'!E168-'Приложение №1'!P168-'Приложение №1'!Q168-'Приложение №1'!R168</f>
        <v>4817860.0588218002</v>
      </c>
      <c r="T168" s="107">
        <f>+'Приложение №2'!E168-'Приложение №1'!P168-'Приложение №1'!Q168-'Приложение №1'!R168-'Приложение №1'!S168</f>
        <v>0</v>
      </c>
      <c r="U168" s="108">
        <f t="shared" si="49"/>
        <v>1973.0088569105719</v>
      </c>
      <c r="V168" s="108">
        <f t="shared" si="49"/>
        <v>1973.0088569105719</v>
      </c>
      <c r="W168" s="135">
        <v>2022</v>
      </c>
      <c r="X168" s="28" t="e">
        <f>+#REF!-'[1]Приложение №1'!$P1223</f>
        <v>#REF!</v>
      </c>
      <c r="Z168" s="30">
        <f t="shared" si="50"/>
        <v>26371012.292399999</v>
      </c>
      <c r="AA168" s="26">
        <v>12305507</v>
      </c>
      <c r="AB168" s="26">
        <v>4288000.4889749996</v>
      </c>
      <c r="AC168" s="26">
        <v>4479954.2738714404</v>
      </c>
      <c r="AD168" s="26">
        <v>3127291</v>
      </c>
      <c r="AE168" s="26">
        <v>0</v>
      </c>
      <c r="AF168" s="26"/>
      <c r="AG168" s="26">
        <v>386031.94970675994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1122564.2276999999</v>
      </c>
      <c r="AN168" s="31">
        <v>134247.94030000002</v>
      </c>
      <c r="AO168" s="32">
        <v>527415.41184680001</v>
      </c>
      <c r="AP168" s="77">
        <f>+N168-'Приложение №2'!E168</f>
        <v>0</v>
      </c>
      <c r="AQ168" s="1">
        <v>1932968.35</v>
      </c>
      <c r="AR168" s="1">
        <f t="shared" ref="AR168:AR203" si="53">+(K168*10+L168*20)*12*0.85</f>
        <v>416996.39999999997</v>
      </c>
      <c r="AS168" s="1">
        <f t="shared" ref="AS168:AS176" si="54">+(K168*10+L168*20)*12*30</f>
        <v>14717520</v>
      </c>
      <c r="AT168" s="28">
        <f t="shared" si="47"/>
        <v>-9899659.9411781989</v>
      </c>
    </row>
    <row r="169" spans="1:51" x14ac:dyDescent="0.25">
      <c r="A169" s="72">
        <f t="shared" si="51"/>
        <v>152</v>
      </c>
      <c r="B169" s="73">
        <f t="shared" si="51"/>
        <v>152</v>
      </c>
      <c r="C169" s="73" t="s">
        <v>57</v>
      </c>
      <c r="D169" s="120" t="s">
        <v>671</v>
      </c>
      <c r="E169" s="121">
        <v>1985</v>
      </c>
      <c r="F169" s="121">
        <v>1985</v>
      </c>
      <c r="G169" s="121" t="s">
        <v>43</v>
      </c>
      <c r="H169" s="121">
        <v>5</v>
      </c>
      <c r="I169" s="121">
        <v>4</v>
      </c>
      <c r="J169" s="107">
        <v>4957.5</v>
      </c>
      <c r="K169" s="107">
        <v>4305.3999999999996</v>
      </c>
      <c r="L169" s="107">
        <v>651.20000000000005</v>
      </c>
      <c r="M169" s="122">
        <v>166</v>
      </c>
      <c r="N169" s="123">
        <f t="shared" si="52"/>
        <v>10316811.362920118</v>
      </c>
      <c r="O169" s="107"/>
      <c r="P169" s="108"/>
      <c r="Q169" s="108"/>
      <c r="R169" s="108">
        <v>2359386</v>
      </c>
      <c r="S169" s="108">
        <f>+'Приложение №2'!E169-'Приложение №1'!P169-'Приложение №1'!Q169-'Приложение №1'!R169</f>
        <v>7957425.3629201185</v>
      </c>
      <c r="T169" s="107">
        <f>+'Приложение №2'!E169-'Приложение №1'!P169-'Приложение №1'!Q169-'Приложение №1'!R169-'Приложение №1'!S169</f>
        <v>0</v>
      </c>
      <c r="U169" s="108">
        <f t="shared" si="49"/>
        <v>2081.429076972142</v>
      </c>
      <c r="V169" s="108">
        <f t="shared" si="49"/>
        <v>2081.429076972142</v>
      </c>
      <c r="W169" s="135">
        <v>2022</v>
      </c>
      <c r="X169" s="28" t="e">
        <f>+#REF!-'[1]Приложение №1'!$P1399</f>
        <v>#REF!</v>
      </c>
      <c r="Z169" s="30">
        <f t="shared" si="50"/>
        <v>19423335.669999994</v>
      </c>
      <c r="AA169" s="26">
        <v>12305784.620476618</v>
      </c>
      <c r="AB169" s="26">
        <v>4512564.0806433605</v>
      </c>
      <c r="AC169" s="26">
        <v>0</v>
      </c>
      <c r="AD169" s="26">
        <v>0</v>
      </c>
      <c r="AE169" s="26">
        <v>0</v>
      </c>
      <c r="AF169" s="26"/>
      <c r="AG169" s="26">
        <v>406248.53806487995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1627838.0182</v>
      </c>
      <c r="AN169" s="31">
        <v>194233.35670000003</v>
      </c>
      <c r="AO169" s="32">
        <v>376667.05591514008</v>
      </c>
      <c r="AP169" s="77">
        <f>+N169-'Приложение №2'!E169</f>
        <v>0</v>
      </c>
      <c r="AQ169" s="1">
        <v>2028653.94</v>
      </c>
      <c r="AR169" s="1">
        <f t="shared" si="53"/>
        <v>571995.6</v>
      </c>
      <c r="AS169" s="1">
        <f t="shared" si="54"/>
        <v>20188080</v>
      </c>
      <c r="AT169" s="28">
        <f t="shared" si="47"/>
        <v>-12230654.637079882</v>
      </c>
    </row>
    <row r="170" spans="1:51" x14ac:dyDescent="0.25">
      <c r="A170" s="72">
        <f t="shared" si="51"/>
        <v>153</v>
      </c>
      <c r="B170" s="73">
        <f t="shared" si="51"/>
        <v>153</v>
      </c>
      <c r="C170" s="73" t="s">
        <v>57</v>
      </c>
      <c r="D170" s="120" t="s">
        <v>672</v>
      </c>
      <c r="E170" s="121">
        <v>1988</v>
      </c>
      <c r="F170" s="121">
        <v>1988</v>
      </c>
      <c r="G170" s="121" t="s">
        <v>43</v>
      </c>
      <c r="H170" s="121">
        <v>5</v>
      </c>
      <c r="I170" s="121">
        <v>4</v>
      </c>
      <c r="J170" s="107">
        <v>5038.3999999999996</v>
      </c>
      <c r="K170" s="107">
        <v>3442.8</v>
      </c>
      <c r="L170" s="107">
        <v>1586</v>
      </c>
      <c r="M170" s="122">
        <v>156</v>
      </c>
      <c r="N170" s="123">
        <f t="shared" si="52"/>
        <v>10050452.1841392</v>
      </c>
      <c r="O170" s="107"/>
      <c r="P170" s="108"/>
      <c r="Q170" s="108"/>
      <c r="R170" s="108">
        <v>2876903.01</v>
      </c>
      <c r="S170" s="108">
        <f>+'Приложение №2'!E170-'Приложение №1'!P170-'Приложение №1'!Q170-'Приложение №1'!R170</f>
        <v>7173549.1741391998</v>
      </c>
      <c r="T170" s="107">
        <f>+'Приложение №2'!E170-'Приложение №1'!P170-'Приложение №1'!Q170-'Приложение №1'!R170-'Приложение №1'!S170</f>
        <v>0</v>
      </c>
      <c r="U170" s="108">
        <f t="shared" si="49"/>
        <v>1998.5786239538656</v>
      </c>
      <c r="V170" s="108">
        <f t="shared" si="49"/>
        <v>1998.5786239538656</v>
      </c>
      <c r="W170" s="135">
        <v>2022</v>
      </c>
      <c r="X170" s="28" t="e">
        <f>+#REF!-'[1]Приложение №1'!$P1216</f>
        <v>#REF!</v>
      </c>
      <c r="Z170" s="30">
        <f t="shared" si="50"/>
        <v>50851543.909999996</v>
      </c>
      <c r="AA170" s="26">
        <v>12240570.226002298</v>
      </c>
      <c r="AB170" s="26">
        <v>4488649.7915120395</v>
      </c>
      <c r="AC170" s="26">
        <v>4689585.7163009401</v>
      </c>
      <c r="AD170" s="26">
        <v>0</v>
      </c>
      <c r="AE170" s="26">
        <v>0</v>
      </c>
      <c r="AF170" s="26"/>
      <c r="AG170" s="26">
        <v>404095.62569795997</v>
      </c>
      <c r="AH170" s="26">
        <v>0</v>
      </c>
      <c r="AI170" s="26">
        <v>23028460.340860799</v>
      </c>
      <c r="AJ170" s="26">
        <v>0</v>
      </c>
      <c r="AK170" s="26">
        <v>0</v>
      </c>
      <c r="AL170" s="26">
        <v>0</v>
      </c>
      <c r="AM170" s="26">
        <v>4510858.3295000009</v>
      </c>
      <c r="AN170" s="31">
        <v>508515.43910000008</v>
      </c>
      <c r="AO170" s="32">
        <v>980808.44102596026</v>
      </c>
      <c r="AP170" s="77">
        <f>+N170-'Приложение №2'!E170</f>
        <v>0</v>
      </c>
      <c r="AQ170" s="1">
        <v>2748459.05</v>
      </c>
      <c r="AR170" s="1">
        <f t="shared" si="53"/>
        <v>674709.6</v>
      </c>
      <c r="AS170" s="1">
        <f t="shared" si="54"/>
        <v>23813280</v>
      </c>
      <c r="AT170" s="28">
        <f t="shared" si="47"/>
        <v>-16639730.8258608</v>
      </c>
    </row>
    <row r="171" spans="1:51" x14ac:dyDescent="0.25">
      <c r="A171" s="72">
        <f t="shared" si="51"/>
        <v>154</v>
      </c>
      <c r="B171" s="73">
        <f t="shared" si="51"/>
        <v>154</v>
      </c>
      <c r="C171" s="73" t="s">
        <v>57</v>
      </c>
      <c r="D171" s="120" t="s">
        <v>673</v>
      </c>
      <c r="E171" s="121">
        <v>1986</v>
      </c>
      <c r="F171" s="121">
        <v>1986</v>
      </c>
      <c r="G171" s="121" t="s">
        <v>43</v>
      </c>
      <c r="H171" s="121">
        <v>5</v>
      </c>
      <c r="I171" s="121">
        <v>4</v>
      </c>
      <c r="J171" s="107">
        <v>4691.8999999999996</v>
      </c>
      <c r="K171" s="107">
        <v>4321.1000000000004</v>
      </c>
      <c r="L171" s="107">
        <v>298</v>
      </c>
      <c r="M171" s="122">
        <v>195</v>
      </c>
      <c r="N171" s="133">
        <f t="shared" si="52"/>
        <v>17029022.68593052</v>
      </c>
      <c r="O171" s="107"/>
      <c r="P171" s="108">
        <f>2000000+3030178.26</f>
        <v>5030178.26</v>
      </c>
      <c r="Q171" s="108"/>
      <c r="R171" s="108">
        <v>1064681.94</v>
      </c>
      <c r="S171" s="108">
        <f>+'Приложение №2'!E171-'Приложение №1'!P171-'Приложение №1'!Q171-'Приложение №1'!R171</f>
        <v>10934162.485930521</v>
      </c>
      <c r="T171" s="108"/>
      <c r="U171" s="107">
        <f t="shared" si="49"/>
        <v>3686.6538256219869</v>
      </c>
      <c r="V171" s="107">
        <f t="shared" si="49"/>
        <v>3686.6538256219869</v>
      </c>
      <c r="W171" s="135">
        <v>2022</v>
      </c>
      <c r="X171" s="28" t="e">
        <f>+#REF!-'[1]Приложение №1'!$P1364</f>
        <v>#REF!</v>
      </c>
      <c r="Z171" s="30">
        <f t="shared" si="50"/>
        <v>19513628.469999999</v>
      </c>
      <c r="AA171" s="26">
        <v>12362990.22966462</v>
      </c>
      <c r="AB171" s="26">
        <v>4533541.53030576</v>
      </c>
      <c r="AC171" s="26">
        <v>0</v>
      </c>
      <c r="AD171" s="26">
        <v>0</v>
      </c>
      <c r="AE171" s="26">
        <v>0</v>
      </c>
      <c r="AF171" s="26"/>
      <c r="AG171" s="26">
        <v>408137.05600247998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1635405.3101999999</v>
      </c>
      <c r="AN171" s="31">
        <v>195136.28469999999</v>
      </c>
      <c r="AO171" s="32">
        <v>378418.05912714003</v>
      </c>
      <c r="AP171" s="77">
        <f>+N171-'Приложение №2'!E171</f>
        <v>0</v>
      </c>
      <c r="AQ171" s="1">
        <v>1886055.9</v>
      </c>
      <c r="AR171" s="1">
        <f t="shared" si="53"/>
        <v>501544.2</v>
      </c>
      <c r="AS171" s="1">
        <f>+(K171*10+L171*20)*12*30</f>
        <v>17701560</v>
      </c>
      <c r="AT171" s="28">
        <f t="shared" si="47"/>
        <v>-6767397.514069479</v>
      </c>
      <c r="AU171" s="28">
        <f>+P171-'[6]Приложение №1'!$P149</f>
        <v>5030178.26</v>
      </c>
      <c r="AV171" s="28">
        <f>+Q171-'[6]Приложение №1'!$Q149</f>
        <v>0</v>
      </c>
      <c r="AW171" s="28">
        <f>+R171-'[6]Приложение №1'!$R149</f>
        <v>859727.48</v>
      </c>
      <c r="AX171" s="28">
        <f>+S171-'[6]Приложение №1'!$S149</f>
        <v>10863570.735930521</v>
      </c>
      <c r="AY171" s="28">
        <f>+T171-'[6]Приложение №1'!$T149</f>
        <v>0</v>
      </c>
    </row>
    <row r="172" spans="1:51" x14ac:dyDescent="0.25">
      <c r="A172" s="72">
        <f t="shared" si="51"/>
        <v>155</v>
      </c>
      <c r="B172" s="73">
        <f t="shared" si="51"/>
        <v>155</v>
      </c>
      <c r="C172" s="73" t="s">
        <v>72</v>
      </c>
      <c r="D172" s="120" t="s">
        <v>223</v>
      </c>
      <c r="E172" s="121">
        <v>1994</v>
      </c>
      <c r="F172" s="121">
        <v>1994</v>
      </c>
      <c r="G172" s="121" t="s">
        <v>43</v>
      </c>
      <c r="H172" s="121">
        <v>2</v>
      </c>
      <c r="I172" s="121">
        <v>2</v>
      </c>
      <c r="J172" s="107">
        <v>1089.5</v>
      </c>
      <c r="K172" s="107">
        <v>978.3</v>
      </c>
      <c r="L172" s="107">
        <v>0</v>
      </c>
      <c r="M172" s="122">
        <v>43</v>
      </c>
      <c r="N172" s="123">
        <f t="shared" si="52"/>
        <v>650224.417044</v>
      </c>
      <c r="O172" s="107"/>
      <c r="P172" s="108">
        <v>327001.24</v>
      </c>
      <c r="Q172" s="108"/>
      <c r="R172" s="108">
        <v>252886.06000000006</v>
      </c>
      <c r="S172" s="108">
        <v>35183.907044000051</v>
      </c>
      <c r="T172" s="107">
        <f>+'Приложение №2'!E172-'Приложение №1'!P172-'Приложение №1'!Q172-'Приложение №1'!R172-'Приложение №1'!S172</f>
        <v>35153.210000000021</v>
      </c>
      <c r="U172" s="108">
        <f t="shared" si="49"/>
        <v>664.64726264336093</v>
      </c>
      <c r="V172" s="108">
        <f t="shared" si="49"/>
        <v>664.64726264336093</v>
      </c>
      <c r="W172" s="135">
        <v>2022</v>
      </c>
      <c r="X172" s="28" t="e">
        <f>+#REF!-'[1]Приложение №1'!$P1242</f>
        <v>#REF!</v>
      </c>
      <c r="Z172" s="30">
        <f t="shared" si="50"/>
        <v>593748.16</v>
      </c>
      <c r="AA172" s="26">
        <v>0</v>
      </c>
      <c r="AB172" s="26">
        <v>0</v>
      </c>
      <c r="AC172" s="26">
        <v>0</v>
      </c>
      <c r="AD172" s="26">
        <v>0</v>
      </c>
      <c r="AE172" s="26">
        <v>543023.63295600004</v>
      </c>
      <c r="AF172" s="26"/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34646.21</v>
      </c>
      <c r="AN172" s="26">
        <v>4203.49</v>
      </c>
      <c r="AO172" s="32">
        <v>11874.827044000001</v>
      </c>
      <c r="AP172" s="77">
        <f>+N172-'Приложение №2'!E172</f>
        <v>0</v>
      </c>
      <c r="AQ172" s="1">
        <v>431386</v>
      </c>
      <c r="AR172" s="1">
        <f t="shared" si="53"/>
        <v>99786.599999999991</v>
      </c>
      <c r="AS172" s="1">
        <f t="shared" si="54"/>
        <v>3521880</v>
      </c>
      <c r="AT172" s="28">
        <f t="shared" si="47"/>
        <v>-3486696.092956</v>
      </c>
    </row>
    <row r="173" spans="1:51" x14ac:dyDescent="0.25">
      <c r="A173" s="72">
        <f t="shared" si="51"/>
        <v>156</v>
      </c>
      <c r="B173" s="73">
        <f t="shared" si="51"/>
        <v>156</v>
      </c>
      <c r="C173" s="73" t="s">
        <v>66</v>
      </c>
      <c r="D173" s="120" t="s">
        <v>678</v>
      </c>
      <c r="E173" s="121">
        <v>1982</v>
      </c>
      <c r="F173" s="121">
        <v>1982</v>
      </c>
      <c r="G173" s="121" t="s">
        <v>43</v>
      </c>
      <c r="H173" s="121">
        <v>5</v>
      </c>
      <c r="I173" s="121">
        <v>1</v>
      </c>
      <c r="J173" s="107">
        <v>982.9</v>
      </c>
      <c r="K173" s="107">
        <v>982.9</v>
      </c>
      <c r="L173" s="107">
        <v>0</v>
      </c>
      <c r="M173" s="122">
        <v>23</v>
      </c>
      <c r="N173" s="133">
        <f t="shared" si="52"/>
        <v>3842006.1097638123</v>
      </c>
      <c r="O173" s="107"/>
      <c r="P173" s="108"/>
      <c r="Q173" s="108"/>
      <c r="R173" s="108">
        <v>310089.55</v>
      </c>
      <c r="S173" s="108">
        <f>+'Приложение №2'!E173-'Приложение №1'!P173-'Приложение №1'!R173</f>
        <v>3531916.5597638125</v>
      </c>
      <c r="T173" s="108">
        <f>+'Приложение №2'!E173-'Приложение №1'!P173-'Приложение №1'!Q173-'Приложение №1'!R173-'Приложение №1'!S173</f>
        <v>0</v>
      </c>
      <c r="U173" s="107">
        <f t="shared" si="49"/>
        <v>3908.8474003090978</v>
      </c>
      <c r="V173" s="107">
        <f t="shared" si="49"/>
        <v>3908.8474003090978</v>
      </c>
      <c r="W173" s="135">
        <v>2022</v>
      </c>
      <c r="X173" s="28" t="e">
        <f>+#REF!-'[1]Приложение №1'!$P1602</f>
        <v>#REF!</v>
      </c>
      <c r="Z173" s="30">
        <f t="shared" si="50"/>
        <v>25846647.639999997</v>
      </c>
      <c r="AA173" s="26">
        <v>3015626.05896552</v>
      </c>
      <c r="AB173" s="26">
        <v>1381996.98965328</v>
      </c>
      <c r="AC173" s="26">
        <v>1398423.8962755599</v>
      </c>
      <c r="AD173" s="26">
        <v>910108.47884880006</v>
      </c>
      <c r="AE173" s="26">
        <v>0</v>
      </c>
      <c r="AF173" s="26"/>
      <c r="AG173" s="26">
        <v>91642.682540640002</v>
      </c>
      <c r="AH173" s="26">
        <v>0</v>
      </c>
      <c r="AI173" s="26">
        <v>7209302.2726031998</v>
      </c>
      <c r="AJ173" s="26">
        <v>0</v>
      </c>
      <c r="AK173" s="26">
        <v>3664064.3373272396</v>
      </c>
      <c r="AL173" s="26">
        <v>4963125.4813509602</v>
      </c>
      <c r="AM173" s="26">
        <v>2458924.8816</v>
      </c>
      <c r="AN173" s="31">
        <v>258466.47640000001</v>
      </c>
      <c r="AO173" s="32">
        <v>494966.08443480008</v>
      </c>
      <c r="AP173" s="77">
        <f>+N173-'Приложение №2'!E173</f>
        <v>0</v>
      </c>
      <c r="AQ173" s="28">
        <f>344430.27</f>
        <v>344430.27</v>
      </c>
      <c r="AR173" s="1">
        <f t="shared" si="53"/>
        <v>100255.8</v>
      </c>
      <c r="AS173" s="1">
        <f t="shared" si="54"/>
        <v>3538440</v>
      </c>
      <c r="AT173" s="28">
        <f t="shared" si="47"/>
        <v>-6523.44023618754</v>
      </c>
    </row>
    <row r="174" spans="1:51" x14ac:dyDescent="0.25">
      <c r="A174" s="72">
        <f t="shared" si="51"/>
        <v>157</v>
      </c>
      <c r="B174" s="73">
        <f t="shared" si="51"/>
        <v>157</v>
      </c>
      <c r="C174" s="73" t="s">
        <v>66</v>
      </c>
      <c r="D174" s="120" t="s">
        <v>679</v>
      </c>
      <c r="E174" s="121">
        <v>1979</v>
      </c>
      <c r="F174" s="121">
        <v>2013</v>
      </c>
      <c r="G174" s="121" t="s">
        <v>43</v>
      </c>
      <c r="H174" s="121">
        <v>4</v>
      </c>
      <c r="I174" s="121">
        <v>2</v>
      </c>
      <c r="J174" s="107">
        <v>1304.3</v>
      </c>
      <c r="K174" s="107">
        <v>1304.3</v>
      </c>
      <c r="L174" s="107">
        <v>0</v>
      </c>
      <c r="M174" s="122">
        <v>47</v>
      </c>
      <c r="N174" s="133">
        <f t="shared" si="52"/>
        <v>2326131.7975841798</v>
      </c>
      <c r="O174" s="107"/>
      <c r="P174" s="108"/>
      <c r="Q174" s="108"/>
      <c r="R174" s="108">
        <v>446256.02</v>
      </c>
      <c r="S174" s="108">
        <f>+'Приложение №2'!E174-'Приложение №1'!P174-'Приложение №1'!R174</f>
        <v>1879875.7775841798</v>
      </c>
      <c r="T174" s="108">
        <f>+'Приложение №2'!E174-'Приложение №1'!P174-'Приложение №1'!Q174-'Приложение №1'!R174-'Приложение №1'!S174</f>
        <v>0</v>
      </c>
      <c r="U174" s="107">
        <f t="shared" si="49"/>
        <v>1783.4331040283523</v>
      </c>
      <c r="V174" s="107">
        <f t="shared" si="49"/>
        <v>1783.4331040283523</v>
      </c>
      <c r="W174" s="135">
        <v>2022</v>
      </c>
      <c r="X174" s="28" t="e">
        <f>+#REF!-'[1]Приложение №1'!$P1221</f>
        <v>#REF!</v>
      </c>
      <c r="Z174" s="30">
        <f t="shared" si="50"/>
        <v>28614187.700000003</v>
      </c>
      <c r="AA174" s="26">
        <v>0</v>
      </c>
      <c r="AB174" s="26">
        <v>0</v>
      </c>
      <c r="AC174" s="26">
        <v>1925825.0481519001</v>
      </c>
      <c r="AD174" s="26">
        <v>1253346.5063616</v>
      </c>
      <c r="AE174" s="26">
        <v>0</v>
      </c>
      <c r="AF174" s="26"/>
      <c r="AG174" s="26">
        <v>0</v>
      </c>
      <c r="AH174" s="26">
        <v>0</v>
      </c>
      <c r="AI174" s="26">
        <v>9928216.292715</v>
      </c>
      <c r="AJ174" s="26">
        <v>0</v>
      </c>
      <c r="AK174" s="26">
        <v>5045928.4281096598</v>
      </c>
      <c r="AL174" s="26">
        <v>6834917.0833343398</v>
      </c>
      <c r="AM174" s="26">
        <v>2793370.4105000002</v>
      </c>
      <c r="AN174" s="31">
        <v>286141.87699999998</v>
      </c>
      <c r="AO174" s="32">
        <v>546442.05382749997</v>
      </c>
      <c r="AP174" s="77">
        <f>+N174-'Приложение №2'!E174</f>
        <v>0</v>
      </c>
      <c r="AQ174" s="28">
        <f>505122.22</f>
        <v>505122.22</v>
      </c>
      <c r="AR174" s="1">
        <f t="shared" si="53"/>
        <v>133038.6</v>
      </c>
      <c r="AS174" s="1">
        <f t="shared" si="54"/>
        <v>4695480</v>
      </c>
      <c r="AT174" s="28">
        <f t="shared" si="47"/>
        <v>-2815604.2224158202</v>
      </c>
    </row>
    <row r="175" spans="1:51" x14ac:dyDescent="0.25">
      <c r="A175" s="72">
        <f t="shared" si="51"/>
        <v>158</v>
      </c>
      <c r="B175" s="73">
        <f t="shared" si="51"/>
        <v>158</v>
      </c>
      <c r="C175" s="73" t="s">
        <v>66</v>
      </c>
      <c r="D175" s="120" t="s">
        <v>680</v>
      </c>
      <c r="E175" s="121">
        <v>1989</v>
      </c>
      <c r="F175" s="121">
        <v>2013</v>
      </c>
      <c r="G175" s="121" t="s">
        <v>43</v>
      </c>
      <c r="H175" s="121">
        <v>5</v>
      </c>
      <c r="I175" s="121">
        <v>3</v>
      </c>
      <c r="J175" s="107">
        <v>2867.1</v>
      </c>
      <c r="K175" s="107">
        <v>2862</v>
      </c>
      <c r="L175" s="107">
        <v>0</v>
      </c>
      <c r="M175" s="122">
        <v>82</v>
      </c>
      <c r="N175" s="133">
        <f t="shared" si="52"/>
        <v>1546028.3117803601</v>
      </c>
      <c r="O175" s="107"/>
      <c r="P175" s="108"/>
      <c r="Q175" s="108"/>
      <c r="R175" s="108">
        <f>+'Приложение №2'!E175-'Приложение №1'!P175</f>
        <v>1546028.3117803601</v>
      </c>
      <c r="S175" s="108"/>
      <c r="T175" s="108"/>
      <c r="U175" s="107">
        <f t="shared" si="49"/>
        <v>540.19158343129277</v>
      </c>
      <c r="V175" s="107">
        <f t="shared" si="49"/>
        <v>540.19158343129277</v>
      </c>
      <c r="W175" s="135">
        <v>2022</v>
      </c>
      <c r="X175" s="28" t="e">
        <f>+#REF!-'[1]Приложение №1'!$P1235</f>
        <v>#REF!</v>
      </c>
      <c r="Z175" s="30">
        <f t="shared" si="50"/>
        <v>8541004.8900000006</v>
      </c>
      <c r="AA175" s="26">
        <v>0</v>
      </c>
      <c r="AB175" s="26">
        <v>0</v>
      </c>
      <c r="AC175" s="26">
        <v>4445034.5403198004</v>
      </c>
      <c r="AD175" s="26">
        <v>2892873.6360392398</v>
      </c>
      <c r="AE175" s="26">
        <v>0</v>
      </c>
      <c r="AF175" s="26"/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957221.47470000014</v>
      </c>
      <c r="AN175" s="31">
        <v>85410.048900000009</v>
      </c>
      <c r="AO175" s="32">
        <v>160465.19004096001</v>
      </c>
      <c r="AP175" s="77">
        <f>+N175-'Приложение №2'!E175</f>
        <v>0</v>
      </c>
      <c r="AQ175" s="1">
        <v>853930.16</v>
      </c>
      <c r="AR175" s="1">
        <f t="shared" si="53"/>
        <v>291924</v>
      </c>
      <c r="AS175" s="1">
        <f t="shared" si="54"/>
        <v>10303200</v>
      </c>
      <c r="AT175" s="28">
        <f t="shared" si="47"/>
        <v>-10303200</v>
      </c>
    </row>
    <row r="176" spans="1:51" x14ac:dyDescent="0.25">
      <c r="A176" s="72">
        <f t="shared" si="51"/>
        <v>159</v>
      </c>
      <c r="B176" s="73">
        <f t="shared" si="51"/>
        <v>159</v>
      </c>
      <c r="C176" s="73" t="s">
        <v>67</v>
      </c>
      <c r="D176" s="120" t="s">
        <v>693</v>
      </c>
      <c r="E176" s="121">
        <v>1972</v>
      </c>
      <c r="F176" s="121">
        <v>1984</v>
      </c>
      <c r="G176" s="121" t="s">
        <v>43</v>
      </c>
      <c r="H176" s="121">
        <v>4</v>
      </c>
      <c r="I176" s="121">
        <v>2</v>
      </c>
      <c r="J176" s="107">
        <v>1930.2</v>
      </c>
      <c r="K176" s="107">
        <v>1800.4</v>
      </c>
      <c r="L176" s="107">
        <v>0</v>
      </c>
      <c r="M176" s="122">
        <v>51</v>
      </c>
      <c r="N176" s="123">
        <f t="shared" si="52"/>
        <v>15304875.67834428</v>
      </c>
      <c r="O176" s="107"/>
      <c r="P176" s="108">
        <v>3669216.29</v>
      </c>
      <c r="Q176" s="108"/>
      <c r="R176" s="108">
        <f>+AQ176+AR176</f>
        <v>820153.92999999993</v>
      </c>
      <c r="S176" s="108">
        <f>+AS176</f>
        <v>6481440</v>
      </c>
      <c r="T176" s="107">
        <f>+'Приложение №2'!E176-'Приложение №1'!P176-'Приложение №1'!Q176-'Приложение №1'!R176-'Приложение №1'!S176</f>
        <v>4334065.4583442807</v>
      </c>
      <c r="U176" s="108">
        <f t="shared" si="49"/>
        <v>8500.8196391603415</v>
      </c>
      <c r="V176" s="108">
        <f t="shared" si="49"/>
        <v>8500.8196391603415</v>
      </c>
      <c r="W176" s="135">
        <v>2022</v>
      </c>
      <c r="X176" s="28" t="e">
        <f>+#REF!-'[1]Приложение №1'!$P1261</f>
        <v>#REF!</v>
      </c>
      <c r="Z176" s="30">
        <f t="shared" si="50"/>
        <v>29490722.483319998</v>
      </c>
      <c r="AA176" s="26">
        <v>3709825.8866268601</v>
      </c>
      <c r="AB176" s="26">
        <v>1713921.9573709802</v>
      </c>
      <c r="AC176" s="26">
        <v>1736279.30300328</v>
      </c>
      <c r="AD176" s="26">
        <v>1121604.8779529999</v>
      </c>
      <c r="AE176" s="26">
        <v>0</v>
      </c>
      <c r="AF176" s="26"/>
      <c r="AG176" s="26">
        <v>0</v>
      </c>
      <c r="AH176" s="26">
        <v>0</v>
      </c>
      <c r="AI176" s="26">
        <v>8717365.728174597</v>
      </c>
      <c r="AJ176" s="26">
        <v>0</v>
      </c>
      <c r="AK176" s="26">
        <v>4503240.0913058994</v>
      </c>
      <c r="AL176" s="26">
        <v>4830668.1100000003</v>
      </c>
      <c r="AM176" s="26">
        <v>2380364.9164</v>
      </c>
      <c r="AN176" s="31">
        <v>273293.73689999996</v>
      </c>
      <c r="AO176" s="32">
        <v>504157.87558537989</v>
      </c>
      <c r="AP176" s="77">
        <f>+N176-'Приложение №2'!E176</f>
        <v>0</v>
      </c>
      <c r="AQ176" s="1">
        <v>636513.13</v>
      </c>
      <c r="AR176" s="1">
        <f t="shared" si="53"/>
        <v>183640.8</v>
      </c>
      <c r="AS176" s="1">
        <f t="shared" si="54"/>
        <v>6481440</v>
      </c>
      <c r="AT176" s="28">
        <f t="shared" si="47"/>
        <v>0</v>
      </c>
    </row>
    <row r="177" spans="1:46" x14ac:dyDescent="0.25">
      <c r="A177" s="72">
        <f t="shared" si="51"/>
        <v>160</v>
      </c>
      <c r="B177" s="73">
        <f t="shared" si="51"/>
        <v>160</v>
      </c>
      <c r="C177" s="73" t="s">
        <v>68</v>
      </c>
      <c r="D177" s="120" t="s">
        <v>694</v>
      </c>
      <c r="E177" s="121">
        <v>1986</v>
      </c>
      <c r="F177" s="121">
        <v>1986</v>
      </c>
      <c r="G177" s="121" t="s">
        <v>43</v>
      </c>
      <c r="H177" s="121">
        <v>2</v>
      </c>
      <c r="I177" s="121">
        <v>3</v>
      </c>
      <c r="J177" s="107">
        <v>946.5</v>
      </c>
      <c r="K177" s="107">
        <v>797.7</v>
      </c>
      <c r="L177" s="107">
        <v>0</v>
      </c>
      <c r="M177" s="122">
        <v>25</v>
      </c>
      <c r="N177" s="123">
        <f t="shared" si="52"/>
        <v>4147111.6458220007</v>
      </c>
      <c r="O177" s="107"/>
      <c r="P177" s="108">
        <v>1957073.0933333335</v>
      </c>
      <c r="Q177" s="108"/>
      <c r="R177" s="108">
        <v>202536.72</v>
      </c>
      <c r="S177" s="108">
        <v>1050861.08</v>
      </c>
      <c r="T177" s="107">
        <v>936640.75248866691</v>
      </c>
      <c r="U177" s="108">
        <f t="shared" si="49"/>
        <v>5198.8362113852327</v>
      </c>
      <c r="V177" s="108">
        <f t="shared" si="49"/>
        <v>5198.8362113852327</v>
      </c>
      <c r="W177" s="135">
        <v>2022</v>
      </c>
      <c r="X177" s="28" t="e">
        <f>+#REF!-'[1]Приложение №1'!$P1702</f>
        <v>#REF!</v>
      </c>
      <c r="Z177" s="30">
        <f t="shared" si="50"/>
        <v>7124617.0800000001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/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6205213.7442943193</v>
      </c>
      <c r="AM177" s="26">
        <v>712461.7080000001</v>
      </c>
      <c r="AN177" s="31">
        <v>71246.170800000007</v>
      </c>
      <c r="AO177" s="32">
        <v>135695.45690567998</v>
      </c>
      <c r="AP177" s="77">
        <f>+N177-'Приложение №2'!E177</f>
        <v>0</v>
      </c>
      <c r="AQ177" s="1">
        <f>309904.68-196260.96</f>
        <v>113643.72</v>
      </c>
      <c r="AR177" s="1">
        <f t="shared" si="53"/>
        <v>81365.399999999994</v>
      </c>
      <c r="AS177" s="1">
        <f>+(K177*10+L177*20)*12*30-2086538.92</f>
        <v>785181.08000000007</v>
      </c>
      <c r="AT177" s="28">
        <f t="shared" si="47"/>
        <v>265680</v>
      </c>
    </row>
    <row r="178" spans="1:46" x14ac:dyDescent="0.25">
      <c r="A178" s="72">
        <f t="shared" si="51"/>
        <v>161</v>
      </c>
      <c r="B178" s="73">
        <f t="shared" si="51"/>
        <v>161</v>
      </c>
      <c r="C178" s="73" t="s">
        <v>68</v>
      </c>
      <c r="D178" s="120" t="s">
        <v>695</v>
      </c>
      <c r="E178" s="121">
        <v>1986</v>
      </c>
      <c r="F178" s="121">
        <v>1986</v>
      </c>
      <c r="G178" s="121" t="s">
        <v>43</v>
      </c>
      <c r="H178" s="121">
        <v>4</v>
      </c>
      <c r="I178" s="121">
        <v>4</v>
      </c>
      <c r="J178" s="107">
        <v>3420.4</v>
      </c>
      <c r="K178" s="107">
        <v>2641.9</v>
      </c>
      <c r="L178" s="107">
        <v>0</v>
      </c>
      <c r="M178" s="122">
        <v>102</v>
      </c>
      <c r="N178" s="123">
        <f t="shared" si="52"/>
        <v>7160735.1737979995</v>
      </c>
      <c r="O178" s="107"/>
      <c r="P178" s="108"/>
      <c r="Q178" s="108"/>
      <c r="R178" s="108">
        <v>1164386.93</v>
      </c>
      <c r="S178" s="108">
        <f>+'Приложение №2'!E178-'Приложение №1'!P178-'Приложение №1'!Q178-'Приложение №1'!R178</f>
        <v>5996348.2437979998</v>
      </c>
      <c r="T178" s="107">
        <f>+'Приложение №2'!E178-'Приложение №1'!P178-'Приложение №1'!Q178-'Приложение №1'!R178-'Приложение №1'!S178</f>
        <v>0</v>
      </c>
      <c r="U178" s="108">
        <f t="shared" si="49"/>
        <v>2710.4489851235849</v>
      </c>
      <c r="V178" s="108">
        <f t="shared" si="49"/>
        <v>2710.4489851235849</v>
      </c>
      <c r="W178" s="135">
        <v>2022</v>
      </c>
      <c r="X178" s="28" t="e">
        <f>+#REF!-'[1]Приложение №1'!$P1015</f>
        <v>#REF!</v>
      </c>
      <c r="Z178" s="30">
        <f t="shared" si="50"/>
        <v>21968812.859999999</v>
      </c>
      <c r="AA178" s="26">
        <v>0</v>
      </c>
      <c r="AB178" s="26">
        <v>0</v>
      </c>
      <c r="AC178" s="26">
        <v>0</v>
      </c>
      <c r="AD178" s="26">
        <v>0</v>
      </c>
      <c r="AE178" s="26">
        <v>0</v>
      </c>
      <c r="AF178" s="26"/>
      <c r="AG178" s="26">
        <v>0</v>
      </c>
      <c r="AH178" s="26">
        <v>0</v>
      </c>
      <c r="AI178" s="26">
        <v>12571294.6707264</v>
      </c>
      <c r="AJ178" s="26">
        <v>0</v>
      </c>
      <c r="AK178" s="26">
        <v>0</v>
      </c>
      <c r="AL178" s="26">
        <v>6702211.8168390002</v>
      </c>
      <c r="AM178" s="26">
        <v>2054145.6924000001</v>
      </c>
      <c r="AN178" s="31">
        <v>219688.1286</v>
      </c>
      <c r="AO178" s="32">
        <v>421472.55143459997</v>
      </c>
      <c r="AP178" s="77">
        <f>+N178-'Приложение №2'!E178</f>
        <v>0</v>
      </c>
      <c r="AQ178" s="1">
        <v>1184809.02</v>
      </c>
      <c r="AR178" s="1">
        <f t="shared" si="53"/>
        <v>269473.8</v>
      </c>
      <c r="AS178" s="1">
        <f t="shared" ref="AS178:AS193" si="55">+(K178*10+L178*20)*12*30</f>
        <v>9510840</v>
      </c>
      <c r="AT178" s="28">
        <f t="shared" si="47"/>
        <v>-3514491.7562020002</v>
      </c>
    </row>
    <row r="179" spans="1:46" x14ac:dyDescent="0.25">
      <c r="A179" s="72">
        <f t="shared" ref="A179:B194" si="56">+A178+1</f>
        <v>162</v>
      </c>
      <c r="B179" s="73">
        <f t="shared" si="56"/>
        <v>162</v>
      </c>
      <c r="C179" s="73" t="s">
        <v>68</v>
      </c>
      <c r="D179" s="120" t="s">
        <v>696</v>
      </c>
      <c r="E179" s="121">
        <v>2001</v>
      </c>
      <c r="F179" s="121">
        <v>2001</v>
      </c>
      <c r="G179" s="121" t="s">
        <v>43</v>
      </c>
      <c r="H179" s="121">
        <v>4</v>
      </c>
      <c r="I179" s="121">
        <v>4</v>
      </c>
      <c r="J179" s="107">
        <v>1999.2</v>
      </c>
      <c r="K179" s="107">
        <v>1458.9</v>
      </c>
      <c r="L179" s="107">
        <v>314.60000000000002</v>
      </c>
      <c r="M179" s="122">
        <v>57</v>
      </c>
      <c r="N179" s="123">
        <f t="shared" si="52"/>
        <v>5095856.215392</v>
      </c>
      <c r="O179" s="107"/>
      <c r="P179" s="108"/>
      <c r="Q179" s="108"/>
      <c r="R179" s="108">
        <f>+AQ179+AR179</f>
        <v>1064233.07</v>
      </c>
      <c r="S179" s="108">
        <f>+'Приложение №2'!E179-'Приложение №1'!P179-'Приложение №1'!Q179-'Приложение №1'!R179</f>
        <v>4031623.1453919997</v>
      </c>
      <c r="T179" s="107">
        <f>+'Приложение №2'!E179-'Приложение №1'!P179-'Приложение №1'!Q179-'Приложение №1'!R179-'Приложение №1'!S179</f>
        <v>0</v>
      </c>
      <c r="U179" s="108">
        <f t="shared" si="49"/>
        <v>2873.3330788790527</v>
      </c>
      <c r="V179" s="108">
        <f t="shared" si="49"/>
        <v>2873.3330788790527</v>
      </c>
      <c r="W179" s="135">
        <v>2022</v>
      </c>
      <c r="X179" s="28" t="e">
        <f>+#REF!-'[1]Приложение №1'!$P1271</f>
        <v>#REF!</v>
      </c>
      <c r="Z179" s="30">
        <f t="shared" si="50"/>
        <v>9558548.6999999993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/>
      <c r="AG179" s="26">
        <v>0</v>
      </c>
      <c r="AH179" s="26">
        <v>0</v>
      </c>
      <c r="AI179" s="26">
        <v>8418596.1820379999</v>
      </c>
      <c r="AJ179" s="26">
        <v>0</v>
      </c>
      <c r="AK179" s="26">
        <v>0</v>
      </c>
      <c r="AL179" s="26">
        <v>0</v>
      </c>
      <c r="AM179" s="26">
        <v>860269.38299999991</v>
      </c>
      <c r="AN179" s="31">
        <v>95585.486999999994</v>
      </c>
      <c r="AO179" s="32">
        <v>184097.64796199999</v>
      </c>
      <c r="AP179" s="77">
        <f>+N179-'Приложение №2'!E179</f>
        <v>0</v>
      </c>
      <c r="AQ179" s="1">
        <v>851246.87</v>
      </c>
      <c r="AR179" s="1">
        <f t="shared" si="53"/>
        <v>212986.19999999998</v>
      </c>
      <c r="AS179" s="1">
        <f t="shared" si="55"/>
        <v>7517160</v>
      </c>
      <c r="AT179" s="28">
        <f t="shared" si="47"/>
        <v>-3485536.8546080003</v>
      </c>
    </row>
    <row r="180" spans="1:46" x14ac:dyDescent="0.25">
      <c r="A180" s="72">
        <f t="shared" si="56"/>
        <v>163</v>
      </c>
      <c r="B180" s="73">
        <f t="shared" si="56"/>
        <v>163</v>
      </c>
      <c r="C180" s="73" t="s">
        <v>774</v>
      </c>
      <c r="D180" s="120" t="s">
        <v>749</v>
      </c>
      <c r="E180" s="121">
        <v>1988</v>
      </c>
      <c r="F180" s="121">
        <v>2011</v>
      </c>
      <c r="G180" s="121" t="s">
        <v>83</v>
      </c>
      <c r="H180" s="121">
        <v>4</v>
      </c>
      <c r="I180" s="121">
        <v>4</v>
      </c>
      <c r="J180" s="107">
        <v>4417.0200000000004</v>
      </c>
      <c r="K180" s="107">
        <v>3086.82</v>
      </c>
      <c r="L180" s="107">
        <v>1330.2</v>
      </c>
      <c r="M180" s="122">
        <v>138</v>
      </c>
      <c r="N180" s="123">
        <f t="shared" si="52"/>
        <v>5687244.3899999997</v>
      </c>
      <c r="O180" s="107"/>
      <c r="P180" s="108">
        <v>4957331.04</v>
      </c>
      <c r="Q180" s="108"/>
      <c r="R180" s="108">
        <f>+'Приложение №2'!E180-'Приложение №1'!P180</f>
        <v>729913.34999999963</v>
      </c>
      <c r="S180" s="108">
        <v>0</v>
      </c>
      <c r="T180" s="107">
        <f>+'Приложение №2'!E180-'Приложение №1'!P180-'Приложение №1'!Q180-'Приложение №1'!R180-'Приложение №1'!S180</f>
        <v>0</v>
      </c>
      <c r="U180" s="108">
        <f t="shared" si="49"/>
        <v>1287.5749690968116</v>
      </c>
      <c r="V180" s="108">
        <f t="shared" si="49"/>
        <v>1287.5749690968116</v>
      </c>
      <c r="W180" s="135">
        <v>2022</v>
      </c>
      <c r="X180" s="28" t="e">
        <f>+#REF!-'[1]Приложение №1'!$P1281</f>
        <v>#REF!</v>
      </c>
      <c r="Z180" s="30">
        <f t="shared" si="50"/>
        <v>21715352.68</v>
      </c>
      <c r="AA180" s="26">
        <v>8884367.4585665986</v>
      </c>
      <c r="AB180" s="26">
        <v>0</v>
      </c>
      <c r="AC180" s="26">
        <v>5714558.3855451001</v>
      </c>
      <c r="AD180" s="26">
        <v>4357405.7316862792</v>
      </c>
      <c r="AE180" s="26">
        <v>0</v>
      </c>
      <c r="AF180" s="26"/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2127330.9989</v>
      </c>
      <c r="AN180" s="31">
        <v>217153.52679999999</v>
      </c>
      <c r="AO180" s="32">
        <v>414536.57850202004</v>
      </c>
      <c r="AP180" s="77">
        <f>+N180-'Приложение №2'!E180</f>
        <v>0</v>
      </c>
      <c r="AQ180" s="1">
        <v>1145113.48</v>
      </c>
      <c r="AR180" s="1">
        <f t="shared" si="53"/>
        <v>586216.43999999994</v>
      </c>
      <c r="AT180" s="28"/>
    </row>
    <row r="181" spans="1:46" s="34" customFormat="1" x14ac:dyDescent="0.25">
      <c r="A181" s="72">
        <f t="shared" si="56"/>
        <v>164</v>
      </c>
      <c r="B181" s="73">
        <f t="shared" si="56"/>
        <v>164</v>
      </c>
      <c r="C181" s="73" t="s">
        <v>774</v>
      </c>
      <c r="D181" s="120" t="s">
        <v>750</v>
      </c>
      <c r="E181" s="121" t="s">
        <v>100</v>
      </c>
      <c r="F181" s="121"/>
      <c r="G181" s="121" t="s">
        <v>83</v>
      </c>
      <c r="H181" s="121" t="s">
        <v>101</v>
      </c>
      <c r="I181" s="121" t="s">
        <v>101</v>
      </c>
      <c r="J181" s="107">
        <v>4395.8500000000004</v>
      </c>
      <c r="K181" s="107">
        <v>3069.35</v>
      </c>
      <c r="L181" s="107">
        <v>1326.5</v>
      </c>
      <c r="M181" s="122">
        <v>146</v>
      </c>
      <c r="N181" s="123">
        <f t="shared" si="52"/>
        <v>28411164.879999999</v>
      </c>
      <c r="O181" s="107">
        <v>0</v>
      </c>
      <c r="P181" s="108">
        <v>26747489.989999998</v>
      </c>
      <c r="Q181" s="108">
        <v>0</v>
      </c>
      <c r="R181" s="108">
        <f>+'Приложение №2'!E181-'Приложение №1'!P181</f>
        <v>1663674.8900000006</v>
      </c>
      <c r="S181" s="108"/>
      <c r="T181" s="107">
        <f>+'Приложение №2'!E181-'Приложение №1'!P181-'Приложение №1'!Q181-'Приложение №1'!R181-'Приложение №1'!S181</f>
        <v>0</v>
      </c>
      <c r="U181" s="108">
        <v>6486.13</v>
      </c>
      <c r="V181" s="108">
        <v>6486.13</v>
      </c>
      <c r="W181" s="135">
        <v>2022</v>
      </c>
      <c r="X181" s="34">
        <v>1133911.74</v>
      </c>
      <c r="Y181" s="34">
        <f>+(K181*9.1+L181*18.19)*12</f>
        <v>624721.44000000006</v>
      </c>
      <c r="AA181" s="35">
        <f>+N181-'[5]Приложение № 2'!E173</f>
        <v>26647617.199999999</v>
      </c>
      <c r="AD181" s="35">
        <f>+N181-'[5]Приложение № 2'!E173</f>
        <v>26647617.199999999</v>
      </c>
      <c r="AP181" s="77" t="s">
        <v>255</v>
      </c>
      <c r="AQ181" s="34">
        <v>1313500.1499999999</v>
      </c>
      <c r="AR181" s="1">
        <f t="shared" si="53"/>
        <v>583679.69999999995</v>
      </c>
      <c r="AS181" s="1"/>
      <c r="AT181" s="28"/>
    </row>
    <row r="182" spans="1:46" s="34" customFormat="1" x14ac:dyDescent="0.25">
      <c r="A182" s="72">
        <f t="shared" si="56"/>
        <v>165</v>
      </c>
      <c r="B182" s="73">
        <f t="shared" si="56"/>
        <v>165</v>
      </c>
      <c r="C182" s="73" t="s">
        <v>774</v>
      </c>
      <c r="D182" s="120" t="s">
        <v>751</v>
      </c>
      <c r="E182" s="121" t="s">
        <v>102</v>
      </c>
      <c r="F182" s="121"/>
      <c r="G182" s="121" t="s">
        <v>83</v>
      </c>
      <c r="H182" s="121" t="s">
        <v>101</v>
      </c>
      <c r="I182" s="121" t="s">
        <v>101</v>
      </c>
      <c r="J182" s="107">
        <v>4423.49</v>
      </c>
      <c r="K182" s="107">
        <v>3088.29</v>
      </c>
      <c r="L182" s="107">
        <v>1335.2</v>
      </c>
      <c r="M182" s="122">
        <v>130</v>
      </c>
      <c r="N182" s="123">
        <f t="shared" si="52"/>
        <v>19924186.370000001</v>
      </c>
      <c r="O182" s="107">
        <v>0</v>
      </c>
      <c r="P182" s="108">
        <v>18274358.620000001</v>
      </c>
      <c r="Q182" s="108">
        <v>0</v>
      </c>
      <c r="R182" s="108">
        <f>+'Приложение №2'!E182-'Приложение №1'!P182</f>
        <v>1649827.75</v>
      </c>
      <c r="S182" s="108"/>
      <c r="T182" s="107">
        <f>+'Приложение №2'!E182-'Приложение №1'!P182-'Приложение №1'!Q182-'Приложение №1'!R182-'Приложение №1'!S182</f>
        <v>0</v>
      </c>
      <c r="U182" s="108">
        <v>3634.91</v>
      </c>
      <c r="V182" s="108">
        <v>3634.91</v>
      </c>
      <c r="W182" s="135">
        <v>2022</v>
      </c>
      <c r="X182" s="34">
        <v>1155454.52</v>
      </c>
      <c r="Y182" s="34">
        <f>+(K182*9.1+L182*18.19)*12</f>
        <v>628688.72399999993</v>
      </c>
      <c r="AA182" s="35">
        <f>+N182-'[5]Приложение № 2'!E174</f>
        <v>18206341.720000003</v>
      </c>
      <c r="AD182" s="35">
        <f>+N182-'[5]Приложение № 2'!E174</f>
        <v>18206341.720000003</v>
      </c>
      <c r="AP182" s="77" t="s">
        <v>254</v>
      </c>
      <c r="AQ182" s="34">
        <v>1347428.17</v>
      </c>
      <c r="AR182" s="1">
        <f t="shared" si="53"/>
        <v>587386.38</v>
      </c>
      <c r="AS182" s="1"/>
      <c r="AT182" s="28"/>
    </row>
    <row r="183" spans="1:46" x14ac:dyDescent="0.25">
      <c r="A183" s="72">
        <f t="shared" si="56"/>
        <v>166</v>
      </c>
      <c r="B183" s="73">
        <f t="shared" si="56"/>
        <v>166</v>
      </c>
      <c r="C183" s="73" t="s">
        <v>774</v>
      </c>
      <c r="D183" s="120" t="s">
        <v>752</v>
      </c>
      <c r="E183" s="121">
        <v>1985</v>
      </c>
      <c r="F183" s="121">
        <v>2011</v>
      </c>
      <c r="G183" s="121" t="s">
        <v>83</v>
      </c>
      <c r="H183" s="121">
        <v>4</v>
      </c>
      <c r="I183" s="121">
        <v>4</v>
      </c>
      <c r="J183" s="107">
        <v>4469.6400000000003</v>
      </c>
      <c r="K183" s="107">
        <v>3113.04</v>
      </c>
      <c r="L183" s="107">
        <v>1356.6</v>
      </c>
      <c r="M183" s="122">
        <v>164</v>
      </c>
      <c r="N183" s="123">
        <f t="shared" si="52"/>
        <v>9802331.1099999994</v>
      </c>
      <c r="O183" s="107"/>
      <c r="P183" s="108">
        <v>9504817.1999999993</v>
      </c>
      <c r="Q183" s="108"/>
      <c r="R183" s="108">
        <f>+'Приложение №2'!E183-'Приложение №1'!P183</f>
        <v>297513.91000000015</v>
      </c>
      <c r="S183" s="108">
        <f>+'Приложение №2'!E183-'Приложение №1'!P183-'Приложение №1'!Q183-'Приложение №1'!R183</f>
        <v>0</v>
      </c>
      <c r="T183" s="107">
        <f>+'Приложение №2'!E183-'Приложение №1'!P183-'Приложение №1'!Q183-'Приложение №1'!R183-'Приложение №1'!S183</f>
        <v>0</v>
      </c>
      <c r="U183" s="108">
        <f>$N183/($K183+$L183)</f>
        <v>2193.0918619844106</v>
      </c>
      <c r="V183" s="108">
        <f>$N183/($K183+$L183)</f>
        <v>2193.0918619844106</v>
      </c>
      <c r="W183" s="135">
        <v>2022</v>
      </c>
      <c r="X183" s="28" t="e">
        <f>+#REF!-'[1]Приложение №1'!$P885</f>
        <v>#REF!</v>
      </c>
      <c r="Z183" s="30">
        <f>SUM(AA183:AO183)</f>
        <v>18138776.329999998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/>
      <c r="AG183" s="26">
        <v>0</v>
      </c>
      <c r="AH183" s="26">
        <v>0</v>
      </c>
      <c r="AI183" s="26">
        <v>15975545.8648842</v>
      </c>
      <c r="AJ183" s="26">
        <v>0</v>
      </c>
      <c r="AK183" s="26">
        <v>0</v>
      </c>
      <c r="AL183" s="26">
        <v>0</v>
      </c>
      <c r="AM183" s="26">
        <v>1632489.8696999997</v>
      </c>
      <c r="AN183" s="31">
        <v>181387.76329999999</v>
      </c>
      <c r="AO183" s="32">
        <v>349352.8321158</v>
      </c>
      <c r="AP183" s="77">
        <f>+N183-'Приложение №2'!E183</f>
        <v>0</v>
      </c>
      <c r="AQ183" s="1">
        <v>1300474.5900000001</v>
      </c>
      <c r="AR183" s="1">
        <f t="shared" si="53"/>
        <v>594276.48</v>
      </c>
      <c r="AT183" s="28"/>
    </row>
    <row r="184" spans="1:46" s="34" customFormat="1" x14ac:dyDescent="0.25">
      <c r="A184" s="72">
        <f t="shared" si="56"/>
        <v>167</v>
      </c>
      <c r="B184" s="73">
        <f t="shared" si="56"/>
        <v>167</v>
      </c>
      <c r="C184" s="73" t="s">
        <v>774</v>
      </c>
      <c r="D184" s="120" t="s">
        <v>753</v>
      </c>
      <c r="E184" s="121" t="s">
        <v>103</v>
      </c>
      <c r="F184" s="121"/>
      <c r="G184" s="121" t="s">
        <v>83</v>
      </c>
      <c r="H184" s="121" t="s">
        <v>104</v>
      </c>
      <c r="I184" s="121" t="s">
        <v>105</v>
      </c>
      <c r="J184" s="107">
        <v>8240.9</v>
      </c>
      <c r="K184" s="107">
        <v>5786.7</v>
      </c>
      <c r="L184" s="107">
        <v>2454.1999999999998</v>
      </c>
      <c r="M184" s="122">
        <v>268</v>
      </c>
      <c r="N184" s="123">
        <f t="shared" si="52"/>
        <v>16952691.299999997</v>
      </c>
      <c r="O184" s="107">
        <v>0</v>
      </c>
      <c r="P184" s="108">
        <v>14417927.800000001</v>
      </c>
      <c r="Q184" s="108">
        <v>0</v>
      </c>
      <c r="R184" s="108">
        <f>+'Приложение №2'!E184-'Приложение №1'!P184</f>
        <v>2534763.4999999963</v>
      </c>
      <c r="S184" s="108">
        <v>0</v>
      </c>
      <c r="T184" s="107">
        <f>+'Приложение №2'!E184-'Приложение №1'!P184-'Приложение №1'!Q184-'Приложение №1'!R184-'Приложение №1'!S184</f>
        <v>0</v>
      </c>
      <c r="U184" s="108">
        <v>4392.93</v>
      </c>
      <c r="V184" s="108">
        <v>4392.93</v>
      </c>
      <c r="W184" s="135">
        <v>2022</v>
      </c>
      <c r="X184" s="34">
        <v>1929907.35</v>
      </c>
      <c r="Y184" s="34">
        <f>+(K184*9.1+L184*18.19)*12</f>
        <v>1167610.4159999997</v>
      </c>
      <c r="AA184" s="35">
        <f>+N184-'[5]Приложение № 2'!E176</f>
        <v>16742652.909999996</v>
      </c>
      <c r="AD184" s="35">
        <f>+N184-'[5]Приложение № 2'!E176</f>
        <v>16742652.909999996</v>
      </c>
      <c r="AP184" s="77" t="s">
        <v>255</v>
      </c>
      <c r="AQ184" s="34">
        <v>2221538.7000000002</v>
      </c>
      <c r="AR184" s="1">
        <f t="shared" si="53"/>
        <v>1090900.2</v>
      </c>
      <c r="AS184" s="1"/>
      <c r="AT184" s="28"/>
    </row>
    <row r="185" spans="1:46" s="34" customFormat="1" x14ac:dyDescent="0.25">
      <c r="A185" s="72">
        <f t="shared" si="56"/>
        <v>168</v>
      </c>
      <c r="B185" s="73">
        <f t="shared" si="56"/>
        <v>168</v>
      </c>
      <c r="C185" s="73" t="s">
        <v>774</v>
      </c>
      <c r="D185" s="120" t="s">
        <v>754</v>
      </c>
      <c r="E185" s="121" t="s">
        <v>100</v>
      </c>
      <c r="F185" s="121"/>
      <c r="G185" s="121" t="s">
        <v>83</v>
      </c>
      <c r="H185" s="121" t="s">
        <v>104</v>
      </c>
      <c r="I185" s="121" t="s">
        <v>97</v>
      </c>
      <c r="J185" s="107">
        <v>3960.6</v>
      </c>
      <c r="K185" s="107">
        <v>2780.6</v>
      </c>
      <c r="L185" s="107">
        <v>1180</v>
      </c>
      <c r="M185" s="122">
        <v>132</v>
      </c>
      <c r="N185" s="123">
        <f t="shared" si="52"/>
        <v>11455370.009999998</v>
      </c>
      <c r="O185" s="107">
        <v>0</v>
      </c>
      <c r="P185" s="108">
        <v>10200845.67</v>
      </c>
      <c r="Q185" s="108">
        <v>0</v>
      </c>
      <c r="R185" s="108">
        <f>+'Приложение №2'!E185-'Приложение №1'!P185</f>
        <v>1254524.339999998</v>
      </c>
      <c r="S185" s="108"/>
      <c r="T185" s="107">
        <f>+'Приложение №2'!E185-'Приложение №1'!P185-'Приложение №1'!Q185-'Приложение №1'!R185-'Приложение №1'!S185</f>
        <v>0</v>
      </c>
      <c r="U185" s="108">
        <v>4392.93</v>
      </c>
      <c r="V185" s="108">
        <v>4392.93</v>
      </c>
      <c r="W185" s="135">
        <v>2022</v>
      </c>
      <c r="X185" s="34">
        <v>1020826.36</v>
      </c>
      <c r="Y185" s="34">
        <f>+(K185*9.1+L185*18.19)*12</f>
        <v>561211.92000000004</v>
      </c>
      <c r="AA185" s="35">
        <f>+N185-'[5]Приложение № 2'!E177</f>
        <v>10659477.589999998</v>
      </c>
      <c r="AD185" s="35">
        <f>+N185-'[5]Приложение № 2'!E177</f>
        <v>10659477.589999998</v>
      </c>
      <c r="AP185" s="77" t="s">
        <v>255</v>
      </c>
      <c r="AQ185" s="34">
        <v>1131381.5</v>
      </c>
      <c r="AR185" s="1">
        <f t="shared" si="53"/>
        <v>524341.19999999995</v>
      </c>
      <c r="AS185" s="1"/>
      <c r="AT185" s="28"/>
    </row>
    <row r="186" spans="1:46" s="34" customFormat="1" x14ac:dyDescent="0.25">
      <c r="A186" s="72">
        <f t="shared" si="56"/>
        <v>169</v>
      </c>
      <c r="B186" s="73">
        <f t="shared" si="56"/>
        <v>169</v>
      </c>
      <c r="C186" s="73" t="s">
        <v>774</v>
      </c>
      <c r="D186" s="120" t="s">
        <v>755</v>
      </c>
      <c r="E186" s="121" t="s">
        <v>103</v>
      </c>
      <c r="F186" s="121"/>
      <c r="G186" s="121" t="s">
        <v>83</v>
      </c>
      <c r="H186" s="121" t="s">
        <v>104</v>
      </c>
      <c r="I186" s="121" t="s">
        <v>105</v>
      </c>
      <c r="J186" s="107">
        <v>8244.17</v>
      </c>
      <c r="K186" s="107">
        <v>5789.27</v>
      </c>
      <c r="L186" s="107">
        <v>2454.9</v>
      </c>
      <c r="M186" s="122">
        <v>264</v>
      </c>
      <c r="N186" s="123">
        <f t="shared" si="52"/>
        <v>21555121.629999999</v>
      </c>
      <c r="O186" s="107">
        <v>0</v>
      </c>
      <c r="P186" s="108">
        <v>18789721.559999999</v>
      </c>
      <c r="Q186" s="108">
        <v>0</v>
      </c>
      <c r="R186" s="108">
        <f>+'Приложение №2'!E186-'Приложение №1'!P186</f>
        <v>2765400.0700000003</v>
      </c>
      <c r="S186" s="108"/>
      <c r="T186" s="107">
        <f>+'Приложение №2'!E186-'Приложение №1'!P186-'Приложение №1'!Q186-'Приложение №1'!R186-'Приложение №1'!S186</f>
        <v>0</v>
      </c>
      <c r="U186" s="108">
        <v>4392.93</v>
      </c>
      <c r="V186" s="108">
        <v>4392.93</v>
      </c>
      <c r="W186" s="135">
        <v>2022</v>
      </c>
      <c r="X186" s="34">
        <v>1958964.9</v>
      </c>
      <c r="Y186" s="34">
        <f>+(K186*9.1+L186*18.19)*12</f>
        <v>1168043.8560000001</v>
      </c>
      <c r="AA186" s="35">
        <f>+N186-'[5]Приложение № 2'!E178</f>
        <v>21169097.509999998</v>
      </c>
      <c r="AD186" s="35">
        <f>+N186-'[5]Приложение № 2'!E178</f>
        <v>21169097.509999998</v>
      </c>
      <c r="AP186" s="77" t="s">
        <v>255</v>
      </c>
      <c r="AQ186" s="34">
        <v>2343373.81</v>
      </c>
      <c r="AR186" s="1">
        <f t="shared" si="53"/>
        <v>1091305.1400000001</v>
      </c>
      <c r="AS186" s="1"/>
      <c r="AT186" s="28"/>
    </row>
    <row r="187" spans="1:46" s="34" customFormat="1" x14ac:dyDescent="0.25">
      <c r="A187" s="72">
        <f t="shared" si="56"/>
        <v>170</v>
      </c>
      <c r="B187" s="73">
        <f t="shared" si="56"/>
        <v>170</v>
      </c>
      <c r="C187" s="73" t="s">
        <v>774</v>
      </c>
      <c r="D187" s="120" t="s">
        <v>756</v>
      </c>
      <c r="E187" s="121" t="s">
        <v>100</v>
      </c>
      <c r="F187" s="121"/>
      <c r="G187" s="121" t="s">
        <v>83</v>
      </c>
      <c r="H187" s="121" t="s">
        <v>104</v>
      </c>
      <c r="I187" s="121" t="s">
        <v>105</v>
      </c>
      <c r="J187" s="107">
        <v>8245.7000000000007</v>
      </c>
      <c r="K187" s="107">
        <v>5795.3</v>
      </c>
      <c r="L187" s="107">
        <v>2450.4</v>
      </c>
      <c r="M187" s="122">
        <v>271</v>
      </c>
      <c r="N187" s="123">
        <f t="shared" si="52"/>
        <v>21555080.010000002</v>
      </c>
      <c r="O187" s="107">
        <v>0</v>
      </c>
      <c r="P187" s="108">
        <v>18913345.629999999</v>
      </c>
      <c r="Q187" s="108">
        <v>0</v>
      </c>
      <c r="R187" s="108">
        <f>+'Приложение №2'!E187-'Приложение №1'!P187</f>
        <v>2641734.3800000027</v>
      </c>
      <c r="S187" s="108"/>
      <c r="T187" s="107">
        <f>+'Приложение №2'!E187-'Приложение №1'!P187-'Приложение №1'!Q187-'Приложение №1'!R187-'Приложение №1'!S187</f>
        <v>0</v>
      </c>
      <c r="U187" s="108">
        <v>4392.93</v>
      </c>
      <c r="V187" s="108">
        <v>4392.93</v>
      </c>
      <c r="W187" s="135">
        <v>2022</v>
      </c>
      <c r="X187" s="34">
        <v>1989915.91</v>
      </c>
      <c r="Y187" s="34">
        <f>+(K187*9.1+L187*18.19)*12</f>
        <v>1167720.0720000002</v>
      </c>
      <c r="AA187" s="35">
        <f>+N187-'[5]Приложение № 2'!E179</f>
        <v>21305951.59</v>
      </c>
      <c r="AD187" s="35">
        <f>+N187-'[5]Приложение № 2'!E179</f>
        <v>21305951.59</v>
      </c>
      <c r="AP187" s="77" t="s">
        <v>255</v>
      </c>
      <c r="AQ187" s="34">
        <v>2258124.61</v>
      </c>
      <c r="AR187" s="1">
        <f t="shared" si="53"/>
        <v>1091002.2</v>
      </c>
      <c r="AS187" s="1"/>
      <c r="AT187" s="28"/>
    </row>
    <row r="188" spans="1:46" x14ac:dyDescent="0.25">
      <c r="A188" s="72">
        <f t="shared" si="56"/>
        <v>171</v>
      </c>
      <c r="B188" s="73">
        <f t="shared" si="56"/>
        <v>171</v>
      </c>
      <c r="C188" s="73" t="s">
        <v>774</v>
      </c>
      <c r="D188" s="120" t="s">
        <v>757</v>
      </c>
      <c r="E188" s="121">
        <v>1989</v>
      </c>
      <c r="F188" s="121">
        <v>2011</v>
      </c>
      <c r="G188" s="121" t="s">
        <v>83</v>
      </c>
      <c r="H188" s="121">
        <v>5</v>
      </c>
      <c r="I188" s="121">
        <v>3</v>
      </c>
      <c r="J188" s="107">
        <v>4149.8500000000004</v>
      </c>
      <c r="K188" s="107">
        <v>2952.15</v>
      </c>
      <c r="L188" s="107">
        <v>1197.7</v>
      </c>
      <c r="M188" s="122">
        <v>135</v>
      </c>
      <c r="N188" s="123">
        <f t="shared" si="52"/>
        <v>3798455.12</v>
      </c>
      <c r="O188" s="107"/>
      <c r="P188" s="108">
        <v>2786045.63</v>
      </c>
      <c r="Q188" s="108"/>
      <c r="R188" s="108">
        <f>+'Приложение №2'!E188-'Приложение №1'!P188</f>
        <v>1012409.4900000002</v>
      </c>
      <c r="S188" s="108">
        <f>+'Приложение №2'!E188-'Приложение №1'!P188-'Приложение №1'!Q188-'Приложение №1'!R188</f>
        <v>0</v>
      </c>
      <c r="T188" s="107">
        <f>+'Приложение №2'!E188-'Приложение №1'!P188-'Приложение №1'!Q188-'Приложение №1'!R188-'Приложение №1'!S188</f>
        <v>0</v>
      </c>
      <c r="U188" s="108">
        <f t="shared" ref="U188:V205" si="57">$N188/($K188+$L188)</f>
        <v>915.32347434244605</v>
      </c>
      <c r="V188" s="108">
        <f t="shared" si="57"/>
        <v>915.32347434244605</v>
      </c>
      <c r="W188" s="135">
        <v>2022</v>
      </c>
      <c r="X188" s="28" t="e">
        <f>+#REF!-'[1]Приложение №1'!$P1286</f>
        <v>#REF!</v>
      </c>
      <c r="Z188" s="30">
        <f t="shared" ref="Z188:Z203" si="58">SUM(AA188:AO188)</f>
        <v>9087777.0999999996</v>
      </c>
      <c r="AA188" s="26">
        <v>8092901.7897546003</v>
      </c>
      <c r="AB188" s="26">
        <v>0</v>
      </c>
      <c r="AC188" s="26">
        <v>0</v>
      </c>
      <c r="AD188" s="26">
        <v>0</v>
      </c>
      <c r="AE188" s="26">
        <v>0</v>
      </c>
      <c r="AF188" s="26"/>
      <c r="AG188" s="26">
        <v>0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727022.16799999995</v>
      </c>
      <c r="AN188" s="31">
        <v>90877.770999999993</v>
      </c>
      <c r="AO188" s="32">
        <v>176975.37124540002</v>
      </c>
      <c r="AP188" s="77">
        <f>+N188-'Приложение №2'!E188</f>
        <v>0</v>
      </c>
      <c r="AQ188" s="1">
        <v>1238172.51</v>
      </c>
      <c r="AR188" s="1">
        <f t="shared" si="53"/>
        <v>545450.1</v>
      </c>
      <c r="AT188" s="28"/>
    </row>
    <row r="189" spans="1:46" x14ac:dyDescent="0.25">
      <c r="A189" s="72">
        <f t="shared" si="56"/>
        <v>172</v>
      </c>
      <c r="B189" s="73">
        <f t="shared" si="56"/>
        <v>172</v>
      </c>
      <c r="C189" s="73" t="s">
        <v>774</v>
      </c>
      <c r="D189" s="120" t="s">
        <v>758</v>
      </c>
      <c r="E189" s="121">
        <v>1986</v>
      </c>
      <c r="F189" s="121">
        <v>2011</v>
      </c>
      <c r="G189" s="121" t="s">
        <v>83</v>
      </c>
      <c r="H189" s="121">
        <v>4</v>
      </c>
      <c r="I189" s="121">
        <v>2</v>
      </c>
      <c r="J189" s="107">
        <v>2202.6</v>
      </c>
      <c r="K189" s="107">
        <v>1541.4</v>
      </c>
      <c r="L189" s="107">
        <v>661.2</v>
      </c>
      <c r="M189" s="122">
        <v>88</v>
      </c>
      <c r="N189" s="123">
        <f t="shared" si="52"/>
        <v>5080860.6100000003</v>
      </c>
      <c r="O189" s="107"/>
      <c r="P189" s="108">
        <v>4921136.82</v>
      </c>
      <c r="Q189" s="108"/>
      <c r="R189" s="108">
        <f>+'Приложение №2'!E189-'Приложение №1'!P189</f>
        <v>159723.79000000004</v>
      </c>
      <c r="S189" s="108">
        <f>+'Приложение №2'!E189-'Приложение №1'!P189-'Приложение №1'!Q189-'Приложение №1'!R189</f>
        <v>0</v>
      </c>
      <c r="T189" s="107">
        <f>+'Приложение №2'!E189-'Приложение №1'!P189-'Приложение №1'!Q189-'Приложение №1'!R189-'Приложение №1'!S189</f>
        <v>0</v>
      </c>
      <c r="U189" s="108">
        <f t="shared" si="57"/>
        <v>2306.7559293562153</v>
      </c>
      <c r="V189" s="108">
        <f t="shared" si="57"/>
        <v>2306.7559293562153</v>
      </c>
      <c r="W189" s="135">
        <v>2022</v>
      </c>
      <c r="X189" s="28" t="e">
        <f>+#REF!-'[1]Приложение №1'!$P886</f>
        <v>#REF!</v>
      </c>
      <c r="Z189" s="30">
        <f t="shared" si="58"/>
        <v>8976789.9100000001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/>
      <c r="AG189" s="26">
        <v>0</v>
      </c>
      <c r="AH189" s="26">
        <v>0</v>
      </c>
      <c r="AI189" s="26">
        <v>7906217.9453333998</v>
      </c>
      <c r="AJ189" s="26">
        <v>0</v>
      </c>
      <c r="AK189" s="26">
        <v>0</v>
      </c>
      <c r="AL189" s="26">
        <v>0</v>
      </c>
      <c r="AM189" s="26">
        <v>807911.0919</v>
      </c>
      <c r="AN189" s="31">
        <v>89767.89910000001</v>
      </c>
      <c r="AO189" s="32">
        <v>172892.97366659998</v>
      </c>
      <c r="AP189" s="77">
        <f>+N189-'Приложение №2'!E189</f>
        <v>0</v>
      </c>
      <c r="AQ189" s="1">
        <v>658488.62</v>
      </c>
      <c r="AR189" s="1">
        <f t="shared" si="53"/>
        <v>292107.59999999998</v>
      </c>
      <c r="AT189" s="28"/>
    </row>
    <row r="190" spans="1:46" x14ac:dyDescent="0.25">
      <c r="A190" s="72">
        <f t="shared" si="56"/>
        <v>173</v>
      </c>
      <c r="B190" s="73">
        <f t="shared" si="56"/>
        <v>173</v>
      </c>
      <c r="C190" s="73" t="s">
        <v>61</v>
      </c>
      <c r="D190" s="120" t="s">
        <v>732</v>
      </c>
      <c r="E190" s="121">
        <v>1975</v>
      </c>
      <c r="F190" s="121">
        <v>2010</v>
      </c>
      <c r="G190" s="121" t="s">
        <v>43</v>
      </c>
      <c r="H190" s="121">
        <v>4</v>
      </c>
      <c r="I190" s="121">
        <v>3</v>
      </c>
      <c r="J190" s="107">
        <v>2207.3000000000002</v>
      </c>
      <c r="K190" s="107">
        <v>1539.8</v>
      </c>
      <c r="L190" s="107">
        <v>72.900000000000006</v>
      </c>
      <c r="M190" s="122">
        <v>60</v>
      </c>
      <c r="N190" s="123">
        <f t="shared" si="52"/>
        <v>8755162.1893241219</v>
      </c>
      <c r="O190" s="107"/>
      <c r="P190" s="108">
        <v>305015.03999999998</v>
      </c>
      <c r="Q190" s="108"/>
      <c r="R190" s="108">
        <v>1072056.3099999998</v>
      </c>
      <c r="S190" s="108">
        <f>+'Приложение №2'!E190-'Приложение №1'!P190-'Приложение №1'!Q190-'Приложение №1'!R190</f>
        <v>7378090.8393241214</v>
      </c>
      <c r="T190" s="107">
        <f>+'Приложение №2'!E190-'Приложение №1'!P190-'Приложение №1'!Q190-'Приложение №1'!R190-'Приложение №1'!S190</f>
        <v>0</v>
      </c>
      <c r="U190" s="108">
        <f t="shared" si="57"/>
        <v>5428.8845968401574</v>
      </c>
      <c r="V190" s="108">
        <f t="shared" si="57"/>
        <v>5428.8845968401574</v>
      </c>
      <c r="W190" s="135">
        <v>2022</v>
      </c>
      <c r="X190" s="28" t="e">
        <f>+#REF!-'[1]Приложение №1'!$P1294</f>
        <v>#REF!</v>
      </c>
      <c r="Z190" s="30">
        <f t="shared" si="58"/>
        <v>12862454.159999998</v>
      </c>
      <c r="AA190" s="26">
        <v>0</v>
      </c>
      <c r="AB190" s="26">
        <v>0</v>
      </c>
      <c r="AC190" s="26">
        <v>1651099.99309374</v>
      </c>
      <c r="AD190" s="26">
        <v>0</v>
      </c>
      <c r="AE190" s="26">
        <v>658775.13073595997</v>
      </c>
      <c r="AF190" s="26"/>
      <c r="AG190" s="26">
        <v>0</v>
      </c>
      <c r="AH190" s="26">
        <v>0</v>
      </c>
      <c r="AI190" s="26">
        <v>0</v>
      </c>
      <c r="AJ190" s="26">
        <v>0</v>
      </c>
      <c r="AK190" s="26">
        <v>4282271.2316294406</v>
      </c>
      <c r="AL190" s="26">
        <v>4419510.2317526992</v>
      </c>
      <c r="AM190" s="26">
        <v>1481370.4040000001</v>
      </c>
      <c r="AN190" s="31">
        <v>128624.54160000001</v>
      </c>
      <c r="AO190" s="32">
        <v>240802.62718816006</v>
      </c>
      <c r="AP190" s="77">
        <f>+N190-'Приложение №2'!E190</f>
        <v>0</v>
      </c>
      <c r="AQ190" s="1">
        <v>817698.89</v>
      </c>
      <c r="AR190" s="1">
        <f t="shared" si="53"/>
        <v>171931.19999999998</v>
      </c>
      <c r="AS190" s="1">
        <f t="shared" si="55"/>
        <v>6068160</v>
      </c>
      <c r="AT190" s="28">
        <f t="shared" si="47"/>
        <v>1309930.8393241214</v>
      </c>
    </row>
    <row r="191" spans="1:46" x14ac:dyDescent="0.25">
      <c r="A191" s="72">
        <f t="shared" si="56"/>
        <v>174</v>
      </c>
      <c r="B191" s="73">
        <f t="shared" si="56"/>
        <v>174</v>
      </c>
      <c r="C191" s="73" t="s">
        <v>61</v>
      </c>
      <c r="D191" s="120" t="s">
        <v>733</v>
      </c>
      <c r="E191" s="121">
        <v>1968</v>
      </c>
      <c r="F191" s="121">
        <v>2010</v>
      </c>
      <c r="G191" s="121" t="s">
        <v>43</v>
      </c>
      <c r="H191" s="121">
        <v>2</v>
      </c>
      <c r="I191" s="121">
        <v>1</v>
      </c>
      <c r="J191" s="107">
        <v>395.2</v>
      </c>
      <c r="K191" s="107">
        <v>370.7</v>
      </c>
      <c r="L191" s="107">
        <v>0</v>
      </c>
      <c r="M191" s="122">
        <v>21</v>
      </c>
      <c r="N191" s="123">
        <f t="shared" si="52"/>
        <v>1521216.82339412</v>
      </c>
      <c r="O191" s="107"/>
      <c r="P191" s="108">
        <v>463367.23</v>
      </c>
      <c r="Q191" s="108"/>
      <c r="R191" s="108">
        <v>167186.07</v>
      </c>
      <c r="S191" s="108">
        <f>+'Приложение №2'!E191-P191-'Приложение №1'!Q191-'Приложение №1'!R191</f>
        <v>890663.52339411993</v>
      </c>
      <c r="T191" s="107">
        <f>+'Приложение №2'!E191-'Приложение №1'!P191-'Приложение №1'!Q191-'Приложение №1'!R191-'Приложение №1'!S191</f>
        <v>0</v>
      </c>
      <c r="U191" s="108">
        <f t="shared" si="57"/>
        <v>4103.6331896253578</v>
      </c>
      <c r="V191" s="108">
        <f t="shared" si="57"/>
        <v>4103.6331896253578</v>
      </c>
      <c r="W191" s="135">
        <v>2022</v>
      </c>
      <c r="X191" s="28" t="e">
        <f>+#REF!-'[1]Приложение №1'!$P887</f>
        <v>#REF!</v>
      </c>
      <c r="Z191" s="30">
        <f t="shared" si="58"/>
        <v>2665334.4900000002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/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2321383.7354034605</v>
      </c>
      <c r="AM191" s="26">
        <v>266533.44900000002</v>
      </c>
      <c r="AN191" s="31">
        <v>26653.344900000004</v>
      </c>
      <c r="AO191" s="32">
        <v>50763.960696540009</v>
      </c>
      <c r="AP191" s="77">
        <f>+N191-'Приложение №2'!E191</f>
        <v>0</v>
      </c>
      <c r="AQ191" s="1">
        <v>177132.32</v>
      </c>
      <c r="AR191" s="1">
        <f t="shared" si="53"/>
        <v>37811.4</v>
      </c>
      <c r="AS191" s="1">
        <f t="shared" si="55"/>
        <v>1334520</v>
      </c>
      <c r="AT191" s="28">
        <f t="shared" si="47"/>
        <v>-443856.47660588007</v>
      </c>
    </row>
    <row r="192" spans="1:46" x14ac:dyDescent="0.25">
      <c r="A192" s="72">
        <f t="shared" si="56"/>
        <v>175</v>
      </c>
      <c r="B192" s="73">
        <f t="shared" si="56"/>
        <v>175</v>
      </c>
      <c r="C192" s="73" t="s">
        <v>62</v>
      </c>
      <c r="D192" s="120" t="s">
        <v>734</v>
      </c>
      <c r="E192" s="121">
        <v>1987</v>
      </c>
      <c r="F192" s="121">
        <v>1987</v>
      </c>
      <c r="G192" s="121" t="s">
        <v>43</v>
      </c>
      <c r="H192" s="121">
        <v>2</v>
      </c>
      <c r="I192" s="121">
        <v>2</v>
      </c>
      <c r="J192" s="107">
        <v>910.2</v>
      </c>
      <c r="K192" s="107">
        <v>783.4</v>
      </c>
      <c r="L192" s="107">
        <v>0</v>
      </c>
      <c r="M192" s="122">
        <v>32</v>
      </c>
      <c r="N192" s="123">
        <f t="shared" si="52"/>
        <v>764368.75019825995</v>
      </c>
      <c r="O192" s="107"/>
      <c r="P192" s="108"/>
      <c r="Q192" s="108"/>
      <c r="R192" s="108">
        <f>+AQ192+AR192</f>
        <v>398689.43</v>
      </c>
      <c r="S192" s="108">
        <f>+'Приложение №2'!E192-'Приложение №1'!R192</f>
        <v>365679.32019825996</v>
      </c>
      <c r="T192" s="107">
        <f>+'Приложение №2'!E192-'Приложение №1'!P192-'Приложение №1'!Q192-'Приложение №1'!R192-'Приложение №1'!S192</f>
        <v>0</v>
      </c>
      <c r="U192" s="108">
        <f t="shared" si="57"/>
        <v>975.70685498884347</v>
      </c>
      <c r="V192" s="108">
        <f t="shared" si="57"/>
        <v>975.70685498884347</v>
      </c>
      <c r="W192" s="135">
        <v>2022</v>
      </c>
      <c r="X192" s="28" t="e">
        <f>+#REF!-'[1]Приложение №1'!$P893</f>
        <v>#REF!</v>
      </c>
      <c r="Z192" s="30">
        <f t="shared" si="58"/>
        <v>1452392.59</v>
      </c>
      <c r="AA192" s="26">
        <v>0</v>
      </c>
      <c r="AB192" s="26">
        <v>0</v>
      </c>
      <c r="AC192" s="26">
        <v>672323.62980174005</v>
      </c>
      <c r="AD192" s="26">
        <v>572666.75863487995</v>
      </c>
      <c r="AE192" s="26">
        <v>0</v>
      </c>
      <c r="AF192" s="26"/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165652.85740000004</v>
      </c>
      <c r="AN192" s="31">
        <v>14523.925900000002</v>
      </c>
      <c r="AO192" s="32">
        <v>27225.418263380001</v>
      </c>
      <c r="AP192" s="77">
        <f>+N192-'Приложение №2'!E192</f>
        <v>0</v>
      </c>
      <c r="AQ192" s="1">
        <v>318782.63</v>
      </c>
      <c r="AR192" s="1">
        <f t="shared" si="53"/>
        <v>79906.8</v>
      </c>
      <c r="AS192" s="1">
        <f t="shared" si="55"/>
        <v>2820240</v>
      </c>
      <c r="AT192" s="28">
        <f t="shared" si="47"/>
        <v>-2454560.6798017402</v>
      </c>
    </row>
    <row r="193" spans="1:51" x14ac:dyDescent="0.25">
      <c r="A193" s="72">
        <f t="shared" si="56"/>
        <v>176</v>
      </c>
      <c r="B193" s="73">
        <f t="shared" si="56"/>
        <v>176</v>
      </c>
      <c r="C193" s="73" t="s">
        <v>62</v>
      </c>
      <c r="D193" s="120" t="s">
        <v>229</v>
      </c>
      <c r="E193" s="121">
        <v>1979</v>
      </c>
      <c r="F193" s="121">
        <v>2010</v>
      </c>
      <c r="G193" s="121" t="s">
        <v>43</v>
      </c>
      <c r="H193" s="121">
        <v>5</v>
      </c>
      <c r="I193" s="121">
        <v>2</v>
      </c>
      <c r="J193" s="107">
        <v>1745.5</v>
      </c>
      <c r="K193" s="107">
        <v>1575.1</v>
      </c>
      <c r="L193" s="107">
        <v>0</v>
      </c>
      <c r="M193" s="122">
        <v>61</v>
      </c>
      <c r="N193" s="123">
        <f t="shared" si="52"/>
        <v>365088.24984040001</v>
      </c>
      <c r="O193" s="107"/>
      <c r="P193" s="108"/>
      <c r="Q193" s="108"/>
      <c r="R193" s="108">
        <f>+'Приложение №2'!E193</f>
        <v>365088.24984040001</v>
      </c>
      <c r="S193" s="108">
        <f>+'Приложение №2'!E193-'Приложение №1'!R193</f>
        <v>0</v>
      </c>
      <c r="T193" s="107">
        <f>+'Приложение №2'!E193-'Приложение №1'!P193-'Приложение №1'!Q193-'Приложение №1'!R193-'Приложение №1'!S193</f>
        <v>0</v>
      </c>
      <c r="U193" s="108">
        <f t="shared" si="57"/>
        <v>231.78734673379469</v>
      </c>
      <c r="V193" s="108">
        <f t="shared" si="57"/>
        <v>231.78734673379469</v>
      </c>
      <c r="W193" s="135">
        <v>2022</v>
      </c>
      <c r="X193" s="28" t="e">
        <f>+#REF!-'[1]Приложение №1'!$P1296</f>
        <v>#REF!</v>
      </c>
      <c r="Z193" s="30">
        <f t="shared" si="58"/>
        <v>1782216.8299999998</v>
      </c>
      <c r="AA193" s="26">
        <v>0</v>
      </c>
      <c r="AB193" s="26">
        <v>0</v>
      </c>
      <c r="AC193" s="26">
        <v>0</v>
      </c>
      <c r="AD193" s="26">
        <v>847487.25615959987</v>
      </c>
      <c r="AE193" s="26">
        <v>523452.69346482004</v>
      </c>
      <c r="AF193" s="26"/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363475.03200000001</v>
      </c>
      <c r="AN193" s="31">
        <v>17822.168300000001</v>
      </c>
      <c r="AO193" s="32">
        <v>29979.68007558</v>
      </c>
      <c r="AP193" s="77">
        <f>+N193-'Приложение №2'!E193</f>
        <v>0</v>
      </c>
      <c r="AQ193" s="1">
        <f>667423.91-106073.7</f>
        <v>561350.21000000008</v>
      </c>
      <c r="AR193" s="1">
        <f t="shared" si="53"/>
        <v>160660.19999999998</v>
      </c>
      <c r="AS193" s="1">
        <f t="shared" si="55"/>
        <v>5670360</v>
      </c>
      <c r="AT193" s="28">
        <f t="shared" si="47"/>
        <v>-5670360</v>
      </c>
    </row>
    <row r="194" spans="1:51" x14ac:dyDescent="0.25">
      <c r="A194" s="72">
        <f t="shared" si="56"/>
        <v>177</v>
      </c>
      <c r="B194" s="73">
        <f t="shared" si="56"/>
        <v>177</v>
      </c>
      <c r="C194" s="73" t="s">
        <v>62</v>
      </c>
      <c r="D194" s="120" t="s">
        <v>207</v>
      </c>
      <c r="E194" s="121">
        <v>1979</v>
      </c>
      <c r="F194" s="121">
        <v>1979</v>
      </c>
      <c r="G194" s="121" t="s">
        <v>43</v>
      </c>
      <c r="H194" s="121">
        <v>5</v>
      </c>
      <c r="I194" s="121">
        <v>3</v>
      </c>
      <c r="J194" s="107">
        <v>4465.2700000000004</v>
      </c>
      <c r="K194" s="107">
        <v>4027.37</v>
      </c>
      <c r="L194" s="107">
        <v>437.9</v>
      </c>
      <c r="M194" s="122">
        <v>123</v>
      </c>
      <c r="N194" s="123">
        <f t="shared" si="52"/>
        <v>8606121.4599104002</v>
      </c>
      <c r="O194" s="107"/>
      <c r="P194" s="108"/>
      <c r="Q194" s="108"/>
      <c r="R194" s="108">
        <v>1518552.78</v>
      </c>
      <c r="S194" s="108">
        <f>+'Приложение №2'!E194-'Приложение №1'!R194</f>
        <v>7087568.6799104</v>
      </c>
      <c r="T194" s="107">
        <f>+'Приложение №2'!E194-'Приложение №1'!P194-'Приложение №1'!Q194-'Приложение №1'!R194-'Приложение №1'!S194</f>
        <v>0</v>
      </c>
      <c r="U194" s="108">
        <f t="shared" si="57"/>
        <v>1927.346265715265</v>
      </c>
      <c r="V194" s="108">
        <f t="shared" si="57"/>
        <v>1927.346265715265</v>
      </c>
      <c r="W194" s="135">
        <v>2022</v>
      </c>
      <c r="X194" s="28" t="e">
        <f>+#REF!-'[1]Приложение №1'!$P898</f>
        <v>#REF!</v>
      </c>
      <c r="Z194" s="30">
        <f t="shared" si="58"/>
        <v>15335711.040000001</v>
      </c>
      <c r="AA194" s="26">
        <v>0</v>
      </c>
      <c r="AB194" s="26">
        <v>0</v>
      </c>
      <c r="AC194" s="26">
        <v>0</v>
      </c>
      <c r="AD194" s="26">
        <v>1531596.9957119999</v>
      </c>
      <c r="AE194" s="26">
        <v>0</v>
      </c>
      <c r="AF194" s="26"/>
      <c r="AG194" s="26">
        <v>0</v>
      </c>
      <c r="AH194" s="26">
        <v>0</v>
      </c>
      <c r="AI194" s="26">
        <v>11903940.0760896</v>
      </c>
      <c r="AJ194" s="26">
        <v>0</v>
      </c>
      <c r="AK194" s="26">
        <v>0</v>
      </c>
      <c r="AL194" s="26">
        <v>0</v>
      </c>
      <c r="AM194" s="26">
        <v>1453008.8736</v>
      </c>
      <c r="AN194" s="31">
        <v>153357.11040000001</v>
      </c>
      <c r="AO194" s="32">
        <v>293807.98419839999</v>
      </c>
      <c r="AP194" s="77">
        <f>+N194-'Приложение №2'!E194</f>
        <v>0</v>
      </c>
      <c r="AQ194" s="1">
        <f>2029381.74-810307.04</f>
        <v>1219074.7</v>
      </c>
      <c r="AR194" s="1">
        <f t="shared" si="53"/>
        <v>500123.33999999991</v>
      </c>
      <c r="AS194" s="1">
        <f>+(K194*10+L194*20)*12*30-25438.56</f>
        <v>17625973.439999998</v>
      </c>
      <c r="AT194" s="28">
        <f t="shared" si="47"/>
        <v>-10538404.760089599</v>
      </c>
    </row>
    <row r="195" spans="1:51" x14ac:dyDescent="0.25">
      <c r="A195" s="72">
        <f t="shared" ref="A195:B205" si="59">+A194+1</f>
        <v>178</v>
      </c>
      <c r="B195" s="73">
        <f t="shared" si="59"/>
        <v>178</v>
      </c>
      <c r="C195" s="73" t="s">
        <v>62</v>
      </c>
      <c r="D195" s="120" t="s">
        <v>735</v>
      </c>
      <c r="E195" s="121">
        <v>1994</v>
      </c>
      <c r="F195" s="121">
        <v>2011</v>
      </c>
      <c r="G195" s="121" t="s">
        <v>43</v>
      </c>
      <c r="H195" s="121">
        <v>5</v>
      </c>
      <c r="I195" s="121">
        <v>2</v>
      </c>
      <c r="J195" s="107">
        <v>1801.3</v>
      </c>
      <c r="K195" s="107">
        <v>1628.1</v>
      </c>
      <c r="L195" s="107">
        <v>0</v>
      </c>
      <c r="M195" s="122">
        <v>70</v>
      </c>
      <c r="N195" s="123">
        <f t="shared" si="52"/>
        <v>481793.98029292002</v>
      </c>
      <c r="O195" s="107"/>
      <c r="P195" s="108"/>
      <c r="Q195" s="108"/>
      <c r="R195" s="108">
        <f>+'Приложение №2'!E195</f>
        <v>481793.98029292002</v>
      </c>
      <c r="S195" s="108">
        <f>+'Приложение №2'!E195-'Приложение №1'!R195</f>
        <v>0</v>
      </c>
      <c r="T195" s="107">
        <f>+'Приложение №2'!E195-'Приложение №1'!P195-'Приложение №1'!Q195-'Приложение №1'!R195-'Приложение №1'!S195</f>
        <v>0</v>
      </c>
      <c r="U195" s="108">
        <f t="shared" si="57"/>
        <v>295.92407118292493</v>
      </c>
      <c r="V195" s="108">
        <f t="shared" si="57"/>
        <v>295.92407118292493</v>
      </c>
      <c r="W195" s="135">
        <v>2022</v>
      </c>
      <c r="X195" s="28" t="e">
        <f>+#REF!-'[1]Приложение №1'!$P1737</f>
        <v>#REF!</v>
      </c>
      <c r="Z195" s="30">
        <f t="shared" si="58"/>
        <v>3174451.3677607998</v>
      </c>
      <c r="AA195" s="26"/>
      <c r="AB195" s="26">
        <v>0</v>
      </c>
      <c r="AC195" s="26">
        <v>1384533.0509295599</v>
      </c>
      <c r="AD195" s="26">
        <v>894381.65855639998</v>
      </c>
      <c r="AE195" s="26">
        <v>0</v>
      </c>
      <c r="AF195" s="26"/>
      <c r="AG195" s="26">
        <v>151903.93578192001</v>
      </c>
      <c r="AH195" s="26">
        <v>0</v>
      </c>
      <c r="AI195" s="26">
        <v>0</v>
      </c>
      <c r="AJ195" s="26">
        <v>0</v>
      </c>
      <c r="AK195" s="26">
        <v>0</v>
      </c>
      <c r="AL195" s="26">
        <v>0</v>
      </c>
      <c r="AM195" s="26">
        <v>564457.80340000009</v>
      </c>
      <c r="AN195" s="31">
        <v>61326.978799999997</v>
      </c>
      <c r="AO195" s="32">
        <v>117847.94029292003</v>
      </c>
      <c r="AP195" s="77">
        <f>+N195-'Приложение №2'!E195</f>
        <v>0</v>
      </c>
      <c r="AQ195" s="1">
        <v>668373.47</v>
      </c>
      <c r="AR195" s="1">
        <f t="shared" si="53"/>
        <v>166066.19999999998</v>
      </c>
      <c r="AS195" s="1">
        <f>+(K195*10+L195*20)*12*30</f>
        <v>5861160</v>
      </c>
      <c r="AT195" s="28">
        <f t="shared" si="47"/>
        <v>-5861160</v>
      </c>
    </row>
    <row r="196" spans="1:51" x14ac:dyDescent="0.25">
      <c r="A196" s="72">
        <f t="shared" si="59"/>
        <v>179</v>
      </c>
      <c r="B196" s="73">
        <f t="shared" si="59"/>
        <v>179</v>
      </c>
      <c r="C196" s="73" t="s">
        <v>62</v>
      </c>
      <c r="D196" s="120" t="s">
        <v>230</v>
      </c>
      <c r="E196" s="121">
        <v>1979</v>
      </c>
      <c r="F196" s="121">
        <v>2009</v>
      </c>
      <c r="G196" s="121" t="s">
        <v>83</v>
      </c>
      <c r="H196" s="121">
        <v>4</v>
      </c>
      <c r="I196" s="121">
        <v>4</v>
      </c>
      <c r="J196" s="107">
        <v>4071.8</v>
      </c>
      <c r="K196" s="107">
        <v>3488.7</v>
      </c>
      <c r="L196" s="107">
        <v>0</v>
      </c>
      <c r="M196" s="122">
        <v>160</v>
      </c>
      <c r="N196" s="123">
        <f t="shared" ref="N196:N205" si="60">+P196+Q196+R196+S196+T196</f>
        <v>1379849.7611506002</v>
      </c>
      <c r="O196" s="107"/>
      <c r="P196" s="108"/>
      <c r="Q196" s="108"/>
      <c r="R196" s="108">
        <f>+AQ196+AR196</f>
        <v>1187619.0899999999</v>
      </c>
      <c r="S196" s="108">
        <f>+'Приложение №2'!E196-'Приложение №1'!R196</f>
        <v>192230.6711506003</v>
      </c>
      <c r="T196" s="107">
        <f>+'Приложение №2'!E196-'Приложение №1'!P196-'Приложение №1'!Q196-'Приложение №1'!R196-'Приложение №1'!S196</f>
        <v>0</v>
      </c>
      <c r="U196" s="108">
        <f t="shared" si="57"/>
        <v>395.51975267308745</v>
      </c>
      <c r="V196" s="108">
        <f t="shared" si="57"/>
        <v>395.51975267308745</v>
      </c>
      <c r="W196" s="135">
        <v>2022</v>
      </c>
      <c r="X196" s="28" t="e">
        <f>+#REF!-'[1]Приложение №1'!$P1306</f>
        <v>#REF!</v>
      </c>
      <c r="Z196" s="30">
        <f t="shared" si="58"/>
        <v>4761308.4000000004</v>
      </c>
      <c r="AA196" s="26">
        <v>0</v>
      </c>
      <c r="AB196" s="26">
        <v>0</v>
      </c>
      <c r="AC196" s="26">
        <v>0</v>
      </c>
      <c r="AD196" s="26">
        <v>2675095.0678494005</v>
      </c>
      <c r="AE196" s="26">
        <v>1068700.1105654999</v>
      </c>
      <c r="AF196" s="26"/>
      <c r="AG196" s="26">
        <v>0</v>
      </c>
      <c r="AH196" s="26">
        <v>0</v>
      </c>
      <c r="AI196" s="26">
        <v>0</v>
      </c>
      <c r="AJ196" s="26">
        <v>0</v>
      </c>
      <c r="AK196" s="26">
        <v>0</v>
      </c>
      <c r="AL196" s="26">
        <v>0</v>
      </c>
      <c r="AM196" s="26">
        <v>888030.91949999996</v>
      </c>
      <c r="AN196" s="31">
        <v>47613.084000000003</v>
      </c>
      <c r="AO196" s="32">
        <v>81869.218085100016</v>
      </c>
      <c r="AP196" s="77">
        <f>+N196-'Приложение №2'!E196</f>
        <v>0</v>
      </c>
      <c r="AQ196" s="1">
        <f>1427606.19-595834.5</f>
        <v>831771.69</v>
      </c>
      <c r="AR196" s="1">
        <f t="shared" si="53"/>
        <v>355847.39999999997</v>
      </c>
      <c r="AS196" s="1">
        <f>+(K196*10+L196*20)*12*30-93757.36-12468</f>
        <v>12453094.640000001</v>
      </c>
      <c r="AT196" s="28">
        <f t="shared" si="47"/>
        <v>-12260863.9688494</v>
      </c>
    </row>
    <row r="197" spans="1:51" x14ac:dyDescent="0.25">
      <c r="A197" s="72">
        <f t="shared" si="59"/>
        <v>180</v>
      </c>
      <c r="B197" s="73">
        <f t="shared" si="59"/>
        <v>180</v>
      </c>
      <c r="C197" s="73" t="s">
        <v>62</v>
      </c>
      <c r="D197" s="120" t="s">
        <v>208</v>
      </c>
      <c r="E197" s="121">
        <v>1973</v>
      </c>
      <c r="F197" s="121">
        <v>2010</v>
      </c>
      <c r="G197" s="121" t="s">
        <v>43</v>
      </c>
      <c r="H197" s="121">
        <v>5</v>
      </c>
      <c r="I197" s="121">
        <v>4</v>
      </c>
      <c r="J197" s="107">
        <v>3449.3</v>
      </c>
      <c r="K197" s="107">
        <v>3117.4</v>
      </c>
      <c r="L197" s="107">
        <v>171.7</v>
      </c>
      <c r="M197" s="122">
        <v>147</v>
      </c>
      <c r="N197" s="123">
        <f t="shared" si="60"/>
        <v>3552408.6974952403</v>
      </c>
      <c r="O197" s="107"/>
      <c r="P197" s="108">
        <v>731499.76793584833</v>
      </c>
      <c r="Q197" s="108"/>
      <c r="R197" s="108">
        <f>+'Приложение №2'!E197-'Приложение №1'!P197-'Приложение №1'!S197</f>
        <v>299122.24749524007</v>
      </c>
      <c r="S197" s="108">
        <v>2521786.6820641519</v>
      </c>
      <c r="T197" s="107">
        <f>+'Приложение №2'!E197-'Приложение №1'!P197-'Приложение №1'!Q197-'Приложение №1'!R197-'Приложение №1'!S197</f>
        <v>0</v>
      </c>
      <c r="U197" s="108">
        <f t="shared" si="57"/>
        <v>1080.0549382795416</v>
      </c>
      <c r="V197" s="108">
        <f t="shared" si="57"/>
        <v>1080.0549382795416</v>
      </c>
      <c r="W197" s="135">
        <v>2022</v>
      </c>
      <c r="X197" s="28" t="e">
        <f>+#REF!-'[1]Приложение №1'!$P1308</f>
        <v>#REF!</v>
      </c>
      <c r="Z197" s="30">
        <f t="shared" si="58"/>
        <v>17920574.470533662</v>
      </c>
      <c r="AA197" s="26"/>
      <c r="AB197" s="26">
        <v>0</v>
      </c>
      <c r="AC197" s="26">
        <v>0</v>
      </c>
      <c r="AD197" s="26">
        <v>0</v>
      </c>
      <c r="AE197" s="26">
        <v>1035545.4729408602</v>
      </c>
      <c r="AF197" s="26"/>
      <c r="AG197" s="26">
        <v>0</v>
      </c>
      <c r="AH197" s="26">
        <v>0</v>
      </c>
      <c r="AI197" s="26">
        <v>0</v>
      </c>
      <c r="AJ197" s="26">
        <v>0</v>
      </c>
      <c r="AK197" s="26">
        <v>6731411.6906387396</v>
      </c>
      <c r="AL197" s="26">
        <v>6947141.1784660202</v>
      </c>
      <c r="AM197" s="26">
        <v>2528780.7582</v>
      </c>
      <c r="AN197" s="31">
        <v>234660.19320000001</v>
      </c>
      <c r="AO197" s="32">
        <v>443035.17708804004</v>
      </c>
      <c r="AP197" s="77">
        <f>+N197-'Приложение №2'!E197</f>
        <v>0</v>
      </c>
      <c r="AQ197" s="1">
        <f>1240910.11-689425.44-282620.64</f>
        <v>268864.03000000014</v>
      </c>
      <c r="AR197" s="1">
        <f t="shared" si="53"/>
        <v>353001.6</v>
      </c>
      <c r="AS197" s="1">
        <f>+(K197*10+L197*20)*12*30-3027646.57-12468.88</f>
        <v>9418764.5499999989</v>
      </c>
      <c r="AT197" s="28">
        <f t="shared" si="47"/>
        <v>-6896977.8679358475</v>
      </c>
    </row>
    <row r="198" spans="1:51" x14ac:dyDescent="0.25">
      <c r="A198" s="72">
        <f t="shared" si="59"/>
        <v>181</v>
      </c>
      <c r="B198" s="73">
        <f t="shared" si="59"/>
        <v>181</v>
      </c>
      <c r="C198" s="73" t="s">
        <v>62</v>
      </c>
      <c r="D198" s="120" t="s">
        <v>720</v>
      </c>
      <c r="E198" s="121">
        <v>1985</v>
      </c>
      <c r="F198" s="121">
        <v>2011</v>
      </c>
      <c r="G198" s="121" t="s">
        <v>43</v>
      </c>
      <c r="H198" s="121">
        <v>5</v>
      </c>
      <c r="I198" s="121">
        <v>2</v>
      </c>
      <c r="J198" s="107">
        <v>1696.6</v>
      </c>
      <c r="K198" s="107">
        <v>1532.2</v>
      </c>
      <c r="L198" s="107">
        <v>54.4</v>
      </c>
      <c r="M198" s="122">
        <v>58</v>
      </c>
      <c r="N198" s="123">
        <f t="shared" si="60"/>
        <v>1178970.48751072</v>
      </c>
      <c r="O198" s="107"/>
      <c r="P198" s="108">
        <v>0</v>
      </c>
      <c r="Q198" s="108"/>
      <c r="R198" s="108">
        <f>+AQ198+AR198</f>
        <v>827589.23</v>
      </c>
      <c r="S198" s="108">
        <f>+'Приложение №2'!E198-'Приложение №1'!R198</f>
        <v>351381.25751072005</v>
      </c>
      <c r="T198" s="107">
        <f>+'Приложение №2'!E198-'Приложение №1'!P198-'Приложение №1'!Q198-'Приложение №1'!R198-'Приложение №1'!S198</f>
        <v>0</v>
      </c>
      <c r="U198" s="108">
        <f t="shared" si="57"/>
        <v>743.0798484247573</v>
      </c>
      <c r="V198" s="108">
        <f t="shared" si="57"/>
        <v>743.0798484247573</v>
      </c>
      <c r="W198" s="135">
        <v>2022</v>
      </c>
      <c r="X198" s="28" t="e">
        <f>+#REF!-'[1]Приложение №1'!$P903</f>
        <v>#REF!</v>
      </c>
      <c r="Z198" s="30">
        <f t="shared" si="58"/>
        <v>6417929.1893379986</v>
      </c>
      <c r="AA198" s="26">
        <v>2736613.7104324196</v>
      </c>
      <c r="AB198" s="26">
        <v>0</v>
      </c>
      <c r="AC198" s="26">
        <v>1280803.3788694199</v>
      </c>
      <c r="AD198" s="26">
        <v>849765.59</v>
      </c>
      <c r="AE198" s="26">
        <v>511029.86662728002</v>
      </c>
      <c r="AF198" s="26"/>
      <c r="AG198" s="26">
        <v>140523.24640871998</v>
      </c>
      <c r="AH198" s="26">
        <v>0</v>
      </c>
      <c r="AI198" s="26">
        <v>0</v>
      </c>
      <c r="AJ198" s="26">
        <v>0</v>
      </c>
      <c r="AK198" s="26">
        <v>0</v>
      </c>
      <c r="AL198" s="26">
        <v>0</v>
      </c>
      <c r="AM198" s="26">
        <v>731735.25000000012</v>
      </c>
      <c r="AN198" s="31">
        <v>56969.515600000006</v>
      </c>
      <c r="AO198" s="32">
        <v>110488.63140016003</v>
      </c>
      <c r="AP198" s="77">
        <f>+N198-'Приложение №2'!E198</f>
        <v>0</v>
      </c>
      <c r="AQ198" s="1">
        <v>660207.23</v>
      </c>
      <c r="AR198" s="1">
        <f t="shared" si="53"/>
        <v>167382</v>
      </c>
      <c r="AS198" s="1">
        <f>+(K198*10+L198*20)*12*30</f>
        <v>5907600</v>
      </c>
      <c r="AT198" s="28">
        <f t="shared" si="47"/>
        <v>-5556218.7424892802</v>
      </c>
    </row>
    <row r="199" spans="1:51" x14ac:dyDescent="0.25">
      <c r="A199" s="72">
        <f t="shared" si="59"/>
        <v>182</v>
      </c>
      <c r="B199" s="73">
        <f t="shared" si="59"/>
        <v>182</v>
      </c>
      <c r="C199" s="73" t="s">
        <v>62</v>
      </c>
      <c r="D199" s="120" t="s">
        <v>736</v>
      </c>
      <c r="E199" s="121">
        <v>1983</v>
      </c>
      <c r="F199" s="121">
        <v>2012</v>
      </c>
      <c r="G199" s="121" t="s">
        <v>43</v>
      </c>
      <c r="H199" s="121">
        <v>4</v>
      </c>
      <c r="I199" s="121">
        <v>6</v>
      </c>
      <c r="J199" s="107">
        <v>5867</v>
      </c>
      <c r="K199" s="107">
        <v>4942.2</v>
      </c>
      <c r="L199" s="107">
        <v>35.200000000000003</v>
      </c>
      <c r="M199" s="122">
        <v>212</v>
      </c>
      <c r="N199" s="123">
        <f t="shared" si="60"/>
        <v>2049515.5313292001</v>
      </c>
      <c r="O199" s="107"/>
      <c r="P199" s="108"/>
      <c r="Q199" s="108"/>
      <c r="R199" s="108">
        <f>+AQ199+AR199</f>
        <v>1940839.3800000001</v>
      </c>
      <c r="S199" s="108">
        <f>+'Приложение №2'!E199-'Приложение №1'!R199</f>
        <v>108676.15132920002</v>
      </c>
      <c r="T199" s="107">
        <f>+'Приложение №2'!E199-'Приложение №1'!P199-'Приложение №1'!Q199-'Приложение №1'!R199-'Приложение №1'!S199</f>
        <v>0</v>
      </c>
      <c r="U199" s="108">
        <f t="shared" si="57"/>
        <v>411.76428081512444</v>
      </c>
      <c r="V199" s="108">
        <f t="shared" si="57"/>
        <v>411.76428081512444</v>
      </c>
      <c r="W199" s="135">
        <v>2022</v>
      </c>
      <c r="X199" s="28" t="e">
        <f>+#REF!-'[1]Приложение №1'!$P1738</f>
        <v>#REF!</v>
      </c>
      <c r="Z199" s="30">
        <f t="shared" si="58"/>
        <v>10424876.889999999</v>
      </c>
      <c r="AA199" s="26">
        <v>0</v>
      </c>
      <c r="AB199" s="26">
        <v>0</v>
      </c>
      <c r="AC199" s="26">
        <v>4158927.152916899</v>
      </c>
      <c r="AD199" s="26">
        <v>2686586.7666707998</v>
      </c>
      <c r="AE199" s="26">
        <v>1659377.25092916</v>
      </c>
      <c r="AF199" s="26"/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1629752.206</v>
      </c>
      <c r="AN199" s="31">
        <v>104248.76890000001</v>
      </c>
      <c r="AO199" s="32">
        <v>185984.74458314001</v>
      </c>
      <c r="AP199" s="77">
        <f>+N199-'Приложение №2'!E199</f>
        <v>0</v>
      </c>
      <c r="AQ199" s="1">
        <f>2070107.33-640553.15</f>
        <v>1429554.1800000002</v>
      </c>
      <c r="AR199" s="1">
        <f t="shared" si="53"/>
        <v>511285.2</v>
      </c>
      <c r="AS199" s="1">
        <f>+(K199*10+L199*20)*12*30-929957.98</f>
        <v>17115402.02</v>
      </c>
      <c r="AT199" s="28">
        <f t="shared" si="47"/>
        <v>-17006725.868670799</v>
      </c>
    </row>
    <row r="200" spans="1:51" x14ac:dyDescent="0.25">
      <c r="A200" s="72">
        <f t="shared" si="59"/>
        <v>183</v>
      </c>
      <c r="B200" s="73">
        <f t="shared" si="59"/>
        <v>183</v>
      </c>
      <c r="C200" s="73" t="s">
        <v>62</v>
      </c>
      <c r="D200" s="120" t="s">
        <v>210</v>
      </c>
      <c r="E200" s="121">
        <v>1969</v>
      </c>
      <c r="F200" s="121">
        <v>2009</v>
      </c>
      <c r="G200" s="121" t="s">
        <v>43</v>
      </c>
      <c r="H200" s="121">
        <v>4</v>
      </c>
      <c r="I200" s="121">
        <v>4</v>
      </c>
      <c r="J200" s="107">
        <v>2719.1</v>
      </c>
      <c r="K200" s="107">
        <v>2454</v>
      </c>
      <c r="L200" s="107">
        <v>66.5</v>
      </c>
      <c r="M200" s="122">
        <v>120</v>
      </c>
      <c r="N200" s="123">
        <f t="shared" si="60"/>
        <v>6265968.0113439998</v>
      </c>
      <c r="O200" s="107"/>
      <c r="P200" s="108"/>
      <c r="Q200" s="108"/>
      <c r="R200" s="108">
        <v>1163543.43</v>
      </c>
      <c r="S200" s="108">
        <f>+'Приложение №2'!E200-'Приложение №1'!R200-P200</f>
        <v>5102424.5813440001</v>
      </c>
      <c r="T200" s="107">
        <f>+'Приложение №2'!E200-'Приложение №1'!P200-'Приложение №1'!Q200-'Приложение №1'!R200-'Приложение №1'!S200</f>
        <v>0</v>
      </c>
      <c r="U200" s="108">
        <f t="shared" si="57"/>
        <v>2486.0019882340803</v>
      </c>
      <c r="V200" s="108">
        <f t="shared" si="57"/>
        <v>2486.0019882340803</v>
      </c>
      <c r="W200" s="135">
        <v>2022</v>
      </c>
      <c r="X200" s="28" t="e">
        <f>+#REF!-'[1]Приложение №1'!$P1739</f>
        <v>#REF!</v>
      </c>
      <c r="Z200" s="30">
        <f t="shared" si="58"/>
        <v>14067048.463401999</v>
      </c>
      <c r="AA200" s="26">
        <v>0</v>
      </c>
      <c r="AB200" s="26">
        <v>0</v>
      </c>
      <c r="AC200" s="26">
        <v>0</v>
      </c>
      <c r="AD200" s="26">
        <v>0</v>
      </c>
      <c r="AE200" s="26">
        <v>850099.92968124012</v>
      </c>
      <c r="AF200" s="26"/>
      <c r="AG200" s="26">
        <v>0</v>
      </c>
      <c r="AH200" s="26">
        <v>0</v>
      </c>
      <c r="AI200" s="26">
        <v>0</v>
      </c>
      <c r="AJ200" s="26">
        <v>0</v>
      </c>
      <c r="AK200" s="26">
        <v>6122487.8099999996</v>
      </c>
      <c r="AL200" s="26">
        <v>6280344.04</v>
      </c>
      <c r="AM200" s="26">
        <v>592071.17800000007</v>
      </c>
      <c r="AN200" s="31">
        <v>53956.358600000007</v>
      </c>
      <c r="AO200" s="32">
        <v>168089.14712076</v>
      </c>
      <c r="AP200" s="77">
        <f>+N200-'Приложение №2'!E200</f>
        <v>0</v>
      </c>
      <c r="AQ200" s="1">
        <v>882910.83</v>
      </c>
      <c r="AR200" s="1">
        <f t="shared" si="53"/>
        <v>263874</v>
      </c>
      <c r="AS200" s="1">
        <f>+(K200*10+L200*20)*12*30</f>
        <v>9313200</v>
      </c>
      <c r="AT200" s="28">
        <f t="shared" si="47"/>
        <v>-4210775.4186559999</v>
      </c>
    </row>
    <row r="201" spans="1:51" x14ac:dyDescent="0.25">
      <c r="A201" s="72">
        <f t="shared" si="59"/>
        <v>184</v>
      </c>
      <c r="B201" s="73">
        <f t="shared" si="59"/>
        <v>184</v>
      </c>
      <c r="C201" s="73" t="s">
        <v>62</v>
      </c>
      <c r="D201" s="120" t="s">
        <v>211</v>
      </c>
      <c r="E201" s="121">
        <v>1967</v>
      </c>
      <c r="F201" s="121">
        <v>2008</v>
      </c>
      <c r="G201" s="121" t="s">
        <v>43</v>
      </c>
      <c r="H201" s="121">
        <v>4</v>
      </c>
      <c r="I201" s="121">
        <v>4</v>
      </c>
      <c r="J201" s="107">
        <v>2789.5</v>
      </c>
      <c r="K201" s="107">
        <v>2436</v>
      </c>
      <c r="L201" s="107">
        <v>98.5</v>
      </c>
      <c r="M201" s="122">
        <v>116</v>
      </c>
      <c r="N201" s="123">
        <f t="shared" si="60"/>
        <v>18257138.112024002</v>
      </c>
      <c r="O201" s="107"/>
      <c r="P201" s="108">
        <v>546289.42000000004</v>
      </c>
      <c r="Q201" s="108"/>
      <c r="R201" s="108">
        <v>1107518.53</v>
      </c>
      <c r="S201" s="108">
        <f>+AS201</f>
        <v>9478800</v>
      </c>
      <c r="T201" s="107">
        <f>+'Приложение №2'!E201-'Приложение №1'!P201-'Приложение №1'!Q201-'Приложение №1'!R201-'Приложение №1'!S201</f>
        <v>7124530.1620240007</v>
      </c>
      <c r="U201" s="108">
        <f t="shared" si="57"/>
        <v>7203.4476670049326</v>
      </c>
      <c r="V201" s="108">
        <f t="shared" si="57"/>
        <v>7203.4476670049326</v>
      </c>
      <c r="W201" s="135">
        <v>2022</v>
      </c>
      <c r="X201" s="28" t="e">
        <f>+#REF!-'[1]Приложение №1'!$P1301</f>
        <v>#REF!</v>
      </c>
      <c r="Z201" s="30">
        <f t="shared" si="58"/>
        <v>19003273.532024</v>
      </c>
      <c r="AA201" s="26">
        <v>4925306.53</v>
      </c>
      <c r="AB201" s="26">
        <v>0</v>
      </c>
      <c r="AC201" s="26">
        <v>0</v>
      </c>
      <c r="AD201" s="26">
        <v>0</v>
      </c>
      <c r="AE201" s="26">
        <v>844685.70089904009</v>
      </c>
      <c r="AF201" s="26"/>
      <c r="AG201" s="26">
        <v>0</v>
      </c>
      <c r="AH201" s="26">
        <v>0</v>
      </c>
      <c r="AI201" s="26">
        <v>0</v>
      </c>
      <c r="AJ201" s="26">
        <v>0</v>
      </c>
      <c r="AK201" s="26">
        <v>6067163.0700000003</v>
      </c>
      <c r="AL201" s="26">
        <v>6238206.8099999996</v>
      </c>
      <c r="AM201" s="26">
        <v>642911.348</v>
      </c>
      <c r="AN201" s="31">
        <v>54084.785600000003</v>
      </c>
      <c r="AO201" s="32">
        <v>230915.28752496</v>
      </c>
      <c r="AP201" s="77">
        <f>+N201-'Приложение №2'!E201</f>
        <v>0</v>
      </c>
      <c r="AQ201" s="1">
        <v>996118.85</v>
      </c>
      <c r="AR201" s="1">
        <f t="shared" si="53"/>
        <v>268566</v>
      </c>
      <c r="AS201" s="1">
        <f>+(K201*10+L201*20)*12*30</f>
        <v>9478800</v>
      </c>
      <c r="AT201" s="28">
        <f t="shared" si="47"/>
        <v>0</v>
      </c>
    </row>
    <row r="202" spans="1:51" x14ac:dyDescent="0.25">
      <c r="A202" s="72">
        <f t="shared" si="59"/>
        <v>185</v>
      </c>
      <c r="B202" s="73">
        <f t="shared" si="59"/>
        <v>185</v>
      </c>
      <c r="C202" s="73" t="s">
        <v>62</v>
      </c>
      <c r="D202" s="120" t="s">
        <v>737</v>
      </c>
      <c r="E202" s="121">
        <v>1975</v>
      </c>
      <c r="F202" s="121">
        <v>1985</v>
      </c>
      <c r="G202" s="121" t="s">
        <v>43</v>
      </c>
      <c r="H202" s="121">
        <v>4</v>
      </c>
      <c r="I202" s="121">
        <v>1</v>
      </c>
      <c r="J202" s="107">
        <v>2576.4</v>
      </c>
      <c r="K202" s="107">
        <v>1895.4</v>
      </c>
      <c r="L202" s="107">
        <v>169.5</v>
      </c>
      <c r="M202" s="122">
        <v>92</v>
      </c>
      <c r="N202" s="123">
        <f>+P202+Q202+R202+S202+T202</f>
        <v>1244942.4749406199</v>
      </c>
      <c r="O202" s="107"/>
      <c r="P202" s="108"/>
      <c r="Q202" s="108"/>
      <c r="R202" s="108">
        <f>+AQ202+AR202</f>
        <v>1018495.6100000001</v>
      </c>
      <c r="S202" s="108">
        <f>+'Приложение №2'!E202-'Приложение №1'!R202</f>
        <v>226446.86494061979</v>
      </c>
      <c r="T202" s="107">
        <f>+'Приложение №2'!E202-'Приложение №1'!P202-'Приложение №1'!Q202-'Приложение №1'!R202-'Приложение №1'!S202</f>
        <v>0</v>
      </c>
      <c r="U202" s="108">
        <f>$N202/($K202+$L202)</f>
        <v>602.90690829610139</v>
      </c>
      <c r="V202" s="108">
        <f>$N202/($K202+$L202)</f>
        <v>602.90690829610139</v>
      </c>
      <c r="W202" s="135">
        <v>2022</v>
      </c>
      <c r="X202" s="28" t="e">
        <f>+#REF!-'[1]Приложение №1'!$P1740</f>
        <v>#REF!</v>
      </c>
      <c r="Z202" s="30">
        <f>SUM(AA202:AO202)</f>
        <v>1957771.97</v>
      </c>
      <c r="AA202" s="26">
        <v>0</v>
      </c>
      <c r="AB202" s="26">
        <v>0</v>
      </c>
      <c r="AC202" s="26">
        <v>1705129.3283593801</v>
      </c>
      <c r="AD202" s="26">
        <v>0</v>
      </c>
      <c r="AE202" s="26">
        <v>0</v>
      </c>
      <c r="AF202" s="26"/>
      <c r="AG202" s="26">
        <v>0</v>
      </c>
      <c r="AH202" s="26">
        <v>0</v>
      </c>
      <c r="AI202" s="26">
        <v>0</v>
      </c>
      <c r="AJ202" s="26">
        <v>0</v>
      </c>
      <c r="AK202" s="26">
        <v>0</v>
      </c>
      <c r="AL202" s="26">
        <v>0</v>
      </c>
      <c r="AM202" s="26">
        <v>195777.19700000001</v>
      </c>
      <c r="AN202" s="31">
        <v>19577.719700000001</v>
      </c>
      <c r="AO202" s="32">
        <v>37287.724940620006</v>
      </c>
      <c r="AP202" s="77">
        <f>+N202-'Приложение №2'!E202</f>
        <v>0</v>
      </c>
      <c r="AQ202" s="1">
        <v>790586.81</v>
      </c>
      <c r="AR202" s="1">
        <f>+(K202*10+L202*20)*12*0.85</f>
        <v>227908.8</v>
      </c>
      <c r="AS202" s="1">
        <f>+(K202*10+L202*20)*12*30</f>
        <v>8043840</v>
      </c>
      <c r="AT202" s="28">
        <f>+S202-AS202</f>
        <v>-7817393.13505938</v>
      </c>
    </row>
    <row r="203" spans="1:51" x14ac:dyDescent="0.25">
      <c r="A203" s="72">
        <f t="shared" si="59"/>
        <v>186</v>
      </c>
      <c r="B203" s="73">
        <f t="shared" si="59"/>
        <v>186</v>
      </c>
      <c r="C203" s="73" t="s">
        <v>51</v>
      </c>
      <c r="D203" s="120" t="s">
        <v>453</v>
      </c>
      <c r="E203" s="121">
        <v>2005</v>
      </c>
      <c r="F203" s="121"/>
      <c r="G203" s="121" t="s">
        <v>43</v>
      </c>
      <c r="H203" s="121">
        <v>6</v>
      </c>
      <c r="I203" s="121">
        <v>1</v>
      </c>
      <c r="J203" s="107">
        <v>1214.0999999999999</v>
      </c>
      <c r="K203" s="107">
        <v>1104.5999999999999</v>
      </c>
      <c r="L203" s="107">
        <v>0</v>
      </c>
      <c r="M203" s="122">
        <v>41</v>
      </c>
      <c r="N203" s="123">
        <f t="shared" si="60"/>
        <v>4254086.16</v>
      </c>
      <c r="O203" s="107"/>
      <c r="P203" s="108"/>
      <c r="Q203" s="108"/>
      <c r="R203" s="108">
        <f>470428.61+3783657.55</f>
        <v>4254086.16</v>
      </c>
      <c r="S203" s="108"/>
      <c r="T203" s="108">
        <v>0</v>
      </c>
      <c r="U203" s="108">
        <f t="shared" si="57"/>
        <v>3851.2458446496476</v>
      </c>
      <c r="V203" s="108">
        <f t="shared" si="57"/>
        <v>3851.2458446496476</v>
      </c>
      <c r="W203" s="135">
        <v>2022</v>
      </c>
      <c r="X203" s="28" t="e">
        <f>+#REF!-'[1]Приложение №1'!$P586</f>
        <v>#REF!</v>
      </c>
      <c r="Z203" s="30">
        <f t="shared" si="58"/>
        <v>7345879.3544120006</v>
      </c>
      <c r="AA203" s="26">
        <v>0</v>
      </c>
      <c r="AB203" s="26">
        <v>0</v>
      </c>
      <c r="AC203" s="26">
        <v>0</v>
      </c>
      <c r="AD203" s="26">
        <v>0</v>
      </c>
      <c r="AE203" s="26">
        <v>491444.9</v>
      </c>
      <c r="AF203" s="26"/>
      <c r="AG203" s="26">
        <v>0</v>
      </c>
      <c r="AH203" s="26">
        <v>0</v>
      </c>
      <c r="AI203" s="26">
        <v>0</v>
      </c>
      <c r="AJ203" s="26">
        <v>0</v>
      </c>
      <c r="AK203" s="26">
        <v>2817572.53491042</v>
      </c>
      <c r="AL203" s="26">
        <v>3039081.7867057198</v>
      </c>
      <c r="AM203" s="26">
        <v>797894.04099999997</v>
      </c>
      <c r="AN203" s="31">
        <v>68910.799100000004</v>
      </c>
      <c r="AO203" s="32">
        <v>130975.29269586</v>
      </c>
      <c r="AP203" s="77" t="s">
        <v>242</v>
      </c>
      <c r="AQ203" s="1">
        <v>547627.87</v>
      </c>
      <c r="AR203" s="1">
        <f t="shared" si="53"/>
        <v>112669.2</v>
      </c>
      <c r="AS203" s="1">
        <f>+(K203*10+L203*20)*12*30</f>
        <v>3976560</v>
      </c>
      <c r="AT203" s="28">
        <f t="shared" si="47"/>
        <v>-3976560</v>
      </c>
    </row>
    <row r="204" spans="1:51" x14ac:dyDescent="0.25">
      <c r="A204" s="72">
        <f t="shared" si="59"/>
        <v>187</v>
      </c>
      <c r="B204" s="73">
        <f t="shared" si="59"/>
        <v>187</v>
      </c>
      <c r="C204" s="74" t="s">
        <v>158</v>
      </c>
      <c r="D204" s="120" t="s">
        <v>759</v>
      </c>
      <c r="E204" s="121" t="s">
        <v>156</v>
      </c>
      <c r="F204" s="121"/>
      <c r="G204" s="121" t="s">
        <v>43</v>
      </c>
      <c r="H204" s="121" t="s">
        <v>97</v>
      </c>
      <c r="I204" s="121" t="s">
        <v>95</v>
      </c>
      <c r="J204" s="107">
        <v>1440.7</v>
      </c>
      <c r="K204" s="107">
        <v>820.56</v>
      </c>
      <c r="L204" s="107">
        <v>349.5</v>
      </c>
      <c r="M204" s="122">
        <v>48</v>
      </c>
      <c r="N204" s="123">
        <f t="shared" si="60"/>
        <v>566057.97</v>
      </c>
      <c r="O204" s="107">
        <v>0</v>
      </c>
      <c r="P204" s="108">
        <v>0</v>
      </c>
      <c r="Q204" s="108">
        <v>0</v>
      </c>
      <c r="R204" s="108">
        <v>566057.97</v>
      </c>
      <c r="S204" s="108"/>
      <c r="T204" s="108">
        <v>0</v>
      </c>
      <c r="U204" s="108">
        <f t="shared" si="57"/>
        <v>483.78542126044817</v>
      </c>
      <c r="V204" s="108">
        <f t="shared" si="57"/>
        <v>483.78542126044817</v>
      </c>
      <c r="W204" s="135">
        <v>2022</v>
      </c>
      <c r="X204" s="28"/>
      <c r="Z204" s="70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71"/>
      <c r="AO204" s="71"/>
      <c r="AP204" s="77">
        <f>+N204-'Приложение №2'!E204</f>
        <v>0</v>
      </c>
      <c r="AT204" s="28">
        <f t="shared" ref="AT204:AT274" si="61">+S204-AS204</f>
        <v>0</v>
      </c>
    </row>
    <row r="205" spans="1:51" x14ac:dyDescent="0.25">
      <c r="A205" s="72">
        <f t="shared" si="59"/>
        <v>188</v>
      </c>
      <c r="B205" s="73">
        <f t="shared" si="59"/>
        <v>188</v>
      </c>
      <c r="C205" s="74" t="s">
        <v>158</v>
      </c>
      <c r="D205" s="120" t="s">
        <v>760</v>
      </c>
      <c r="E205" s="121" t="s">
        <v>157</v>
      </c>
      <c r="F205" s="121"/>
      <c r="G205" s="121" t="s">
        <v>43</v>
      </c>
      <c r="H205" s="121" t="s">
        <v>97</v>
      </c>
      <c r="I205" s="121" t="s">
        <v>98</v>
      </c>
      <c r="J205" s="107">
        <v>819.9</v>
      </c>
      <c r="K205" s="107">
        <v>649</v>
      </c>
      <c r="L205" s="107">
        <v>0</v>
      </c>
      <c r="M205" s="122">
        <v>30</v>
      </c>
      <c r="N205" s="123">
        <f t="shared" si="60"/>
        <v>10770762.300000001</v>
      </c>
      <c r="O205" s="107">
        <v>0</v>
      </c>
      <c r="P205" s="108">
        <v>0</v>
      </c>
      <c r="Q205" s="108">
        <v>0</v>
      </c>
      <c r="R205" s="108">
        <v>10770762.300000001</v>
      </c>
      <c r="S205" s="108"/>
      <c r="T205" s="108">
        <v>0</v>
      </c>
      <c r="U205" s="108">
        <f t="shared" si="57"/>
        <v>16595.935747303545</v>
      </c>
      <c r="V205" s="108">
        <f t="shared" si="57"/>
        <v>16595.935747303545</v>
      </c>
      <c r="W205" s="135">
        <v>2022</v>
      </c>
      <c r="X205" s="28"/>
      <c r="Z205" s="70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71"/>
      <c r="AO205" s="71"/>
      <c r="AP205" s="77">
        <f>+N205-'Приложение №2'!E205</f>
        <v>0</v>
      </c>
      <c r="AT205" s="28">
        <f t="shared" si="61"/>
        <v>0</v>
      </c>
    </row>
    <row r="206" spans="1:51" s="54" customFormat="1" x14ac:dyDescent="0.25">
      <c r="A206" s="53"/>
      <c r="B206" s="53"/>
      <c r="D206" s="55">
        <v>2023</v>
      </c>
      <c r="E206" s="58"/>
      <c r="F206" s="58"/>
      <c r="G206" s="58"/>
      <c r="H206" s="58"/>
      <c r="I206" s="58"/>
      <c r="J206" s="59">
        <f>SUM(J207:J480)</f>
        <v>961378.14999999967</v>
      </c>
      <c r="K206" s="59">
        <f>SUM(K207:K480)</f>
        <v>800660.29000000062</v>
      </c>
      <c r="L206" s="59">
        <f>SUM(L207:L480)</f>
        <v>43607.969999999994</v>
      </c>
      <c r="M206" s="59">
        <f>SUM(M207:M480)</f>
        <v>33731</v>
      </c>
      <c r="N206" s="59">
        <f>SUM(O206:T206)</f>
        <v>2819766121.685678</v>
      </c>
      <c r="O206" s="59">
        <f>SUM(O208:O478)</f>
        <v>0</v>
      </c>
      <c r="P206" s="59">
        <f>SUM(P207:P480)</f>
        <v>438078319.99594557</v>
      </c>
      <c r="Q206" s="59">
        <f>SUM(Q207:Q480)</f>
        <v>2540072</v>
      </c>
      <c r="R206" s="59">
        <f>SUM(R207:R480)</f>
        <v>358064188.57844651</v>
      </c>
      <c r="S206" s="59">
        <f>SUM(S207:S480)</f>
        <v>1291647100.5284207</v>
      </c>
      <c r="T206" s="59">
        <f>SUM(T207:T480)</f>
        <v>729436440.58286536</v>
      </c>
      <c r="U206" s="60"/>
      <c r="V206" s="60"/>
      <c r="W206" s="61"/>
      <c r="X206" s="62"/>
      <c r="Z206" s="63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4"/>
      <c r="AO206" s="64"/>
      <c r="AP206" s="80">
        <f>+N206-'Приложение №2'!E206</f>
        <v>0</v>
      </c>
      <c r="AT206" s="62">
        <f>+P206+Q206+R206+S206+T206-'Приложение №2'!E206</f>
        <v>0</v>
      </c>
    </row>
    <row r="207" spans="1:51" x14ac:dyDescent="0.25">
      <c r="A207" s="136">
        <f>+A205+1</f>
        <v>189</v>
      </c>
      <c r="B207" s="120">
        <v>1</v>
      </c>
      <c r="C207" s="120" t="s">
        <v>48</v>
      </c>
      <c r="D207" s="120" t="s">
        <v>371</v>
      </c>
      <c r="E207" s="121">
        <v>1997</v>
      </c>
      <c r="F207" s="121">
        <v>2013</v>
      </c>
      <c r="G207" s="121" t="s">
        <v>43</v>
      </c>
      <c r="H207" s="121">
        <v>3</v>
      </c>
      <c r="I207" s="121">
        <v>3</v>
      </c>
      <c r="J207" s="107">
        <v>2554.6999999999998</v>
      </c>
      <c r="K207" s="107">
        <v>1158.4000000000001</v>
      </c>
      <c r="L207" s="107">
        <v>157.9</v>
      </c>
      <c r="M207" s="122">
        <v>40</v>
      </c>
      <c r="N207" s="133">
        <f t="shared" ref="N207:N269" si="62">+P207+Q207+R207+S207+T207</f>
        <v>20790092.609999999</v>
      </c>
      <c r="O207" s="107"/>
      <c r="P207" s="107">
        <v>7389025.9417176796</v>
      </c>
      <c r="Q207" s="107"/>
      <c r="R207" s="107">
        <f>+AQ207+AR207+647925.87</f>
        <v>1537451.98</v>
      </c>
      <c r="S207" s="107">
        <f>+AS207</f>
        <v>5307120</v>
      </c>
      <c r="T207" s="107">
        <f>+'Приложение №2'!E207-'Приложение №1'!P207-'Приложение №1'!Q207-'Приложение №1'!R207-'Приложение №1'!S207</f>
        <v>6556494.6882823184</v>
      </c>
      <c r="U207" s="107">
        <f t="shared" ref="U207:V226" si="63">$N207/($K207+$L207)</f>
        <v>15794.34217883461</v>
      </c>
      <c r="V207" s="107">
        <f t="shared" si="63"/>
        <v>15794.34217883461</v>
      </c>
      <c r="W207" s="135">
        <v>2023</v>
      </c>
      <c r="X207" s="28" t="e">
        <f>+#REF!-'[1]Приложение №1'!$P1469</f>
        <v>#REF!</v>
      </c>
      <c r="Z207" s="27">
        <f>SUM(AA207:AO207)</f>
        <v>50522516.669999994</v>
      </c>
      <c r="AA207" s="26">
        <v>5373102.4124122793</v>
      </c>
      <c r="AB207" s="26">
        <v>2799379.0984185603</v>
      </c>
      <c r="AC207" s="26">
        <v>1158345.46972326</v>
      </c>
      <c r="AD207" s="26">
        <v>601928.63075688004</v>
      </c>
      <c r="AE207" s="26">
        <v>0</v>
      </c>
      <c r="AF207" s="26"/>
      <c r="AG207" s="26">
        <v>439165.68767148</v>
      </c>
      <c r="AH207" s="26">
        <v>0</v>
      </c>
      <c r="AI207" s="26">
        <v>12048310.589364</v>
      </c>
      <c r="AJ207" s="26">
        <v>4856893.85457318</v>
      </c>
      <c r="AK207" s="26">
        <v>13999412.94979164</v>
      </c>
      <c r="AL207" s="26">
        <v>2997543.6040317602</v>
      </c>
      <c r="AM207" s="26">
        <v>4775024.6969000008</v>
      </c>
      <c r="AN207" s="26">
        <v>505225.1667</v>
      </c>
      <c r="AO207" s="29">
        <v>968184.50965696003</v>
      </c>
      <c r="AP207" s="77">
        <f>+N207-'Приложение №2'!E207</f>
        <v>0</v>
      </c>
      <c r="AQ207" s="1">
        <v>739157.71</v>
      </c>
      <c r="AR207" s="1">
        <f t="shared" ref="AR207:AR220" si="64">+(K207*10+L207*20)*12*0.85</f>
        <v>150368.4</v>
      </c>
      <c r="AS207" s="1">
        <f>+(K207*10+L207*20)*12*30</f>
        <v>5307120</v>
      </c>
      <c r="AT207" s="28">
        <f t="shared" si="61"/>
        <v>0</v>
      </c>
      <c r="AU207" s="28">
        <f>+P207-'[6]Приложение №1'!$P209</f>
        <v>0</v>
      </c>
      <c r="AV207" s="28">
        <f>+Q207-'[6]Приложение №1'!$Q209</f>
        <v>0</v>
      </c>
      <c r="AW207" s="28">
        <f>+R207-'[6]Приложение №1'!$R209</f>
        <v>647925.87</v>
      </c>
      <c r="AX207" s="28">
        <f>+S207-'[6]Приложение №1'!$S209</f>
        <v>0</v>
      </c>
      <c r="AY207" s="28">
        <f>+T207-'[6]Приложение №1'!$T209</f>
        <v>0</v>
      </c>
    </row>
    <row r="208" spans="1:51" s="34" customFormat="1" x14ac:dyDescent="0.25">
      <c r="A208" s="137">
        <f t="shared" ref="A208:A280" si="65">+A207+1</f>
        <v>190</v>
      </c>
      <c r="B208" s="138">
        <f t="shared" ref="B208:B280" si="66">+B207+1</f>
        <v>2</v>
      </c>
      <c r="C208" s="120" t="s">
        <v>49</v>
      </c>
      <c r="D208" s="120" t="s">
        <v>264</v>
      </c>
      <c r="E208" s="121" t="s">
        <v>106</v>
      </c>
      <c r="F208" s="121"/>
      <c r="G208" s="121" t="s">
        <v>83</v>
      </c>
      <c r="H208" s="121" t="s">
        <v>104</v>
      </c>
      <c r="I208" s="121" t="s">
        <v>101</v>
      </c>
      <c r="J208" s="107">
        <v>3725.6</v>
      </c>
      <c r="K208" s="107">
        <v>3166.8</v>
      </c>
      <c r="L208" s="107">
        <v>0</v>
      </c>
      <c r="M208" s="122">
        <v>150</v>
      </c>
      <c r="N208" s="133">
        <f t="shared" si="62"/>
        <v>13840695.419989362</v>
      </c>
      <c r="O208" s="107">
        <v>0</v>
      </c>
      <c r="P208" s="108"/>
      <c r="Q208" s="108">
        <v>0</v>
      </c>
      <c r="R208" s="108">
        <f>+AQ208+AR208</f>
        <v>1967279.13</v>
      </c>
      <c r="S208" s="108">
        <f>+'Приложение №2'!E208-'Приложение №1'!R208</f>
        <v>11873416.289989363</v>
      </c>
      <c r="T208" s="108"/>
      <c r="U208" s="107">
        <f t="shared" si="63"/>
        <v>4370.5618984430221</v>
      </c>
      <c r="V208" s="107">
        <f t="shared" si="63"/>
        <v>4370.5618984430221</v>
      </c>
      <c r="W208" s="135">
        <v>2023</v>
      </c>
      <c r="X208" s="34">
        <v>1326436.8899999999</v>
      </c>
      <c r="Y208" s="34">
        <f>+(K208*9.1+L208*18.19)*12</f>
        <v>345814.56</v>
      </c>
      <c r="AA208" s="35">
        <f>+N208-'[5]Приложение № 2'!E200</f>
        <v>-10603494.709595278</v>
      </c>
      <c r="AD208" s="35">
        <f>+N208-'[5]Приложение № 2'!E200</f>
        <v>-10603494.709595278</v>
      </c>
      <c r="AP208" s="77">
        <f>+N208-'Приложение №2'!E208</f>
        <v>0</v>
      </c>
      <c r="AQ208" s="34">
        <v>1644265.53</v>
      </c>
      <c r="AR208" s="1">
        <f t="shared" si="64"/>
        <v>323013.59999999998</v>
      </c>
      <c r="AS208" s="1">
        <f>+(K208*10+L208*20)*12*30</f>
        <v>11400480</v>
      </c>
      <c r="AT208" s="28">
        <f t="shared" si="61"/>
        <v>472936.2899893634</v>
      </c>
      <c r="AU208" s="28">
        <f>+P208-'[6]Приложение №1'!$P210</f>
        <v>-5072123.3467405867</v>
      </c>
      <c r="AV208" s="28">
        <f>+Q208-'[6]Приложение №1'!$Q210</f>
        <v>0</v>
      </c>
      <c r="AW208" s="28">
        <f>+R208-'[6]Приложение №1'!$R210</f>
        <v>0</v>
      </c>
      <c r="AX208" s="28">
        <f>+S208-'[6]Приложение №1'!$S210</f>
        <v>8104554.0437475042</v>
      </c>
      <c r="AY208" s="28">
        <f>+T208-'[6]Приложение №1'!$T210</f>
        <v>-5824025.0059681861</v>
      </c>
    </row>
    <row r="209" spans="1:51" s="34" customFormat="1" x14ac:dyDescent="0.25">
      <c r="A209" s="137">
        <f t="shared" si="65"/>
        <v>191</v>
      </c>
      <c r="B209" s="138">
        <f t="shared" si="66"/>
        <v>3</v>
      </c>
      <c r="C209" s="120" t="s">
        <v>49</v>
      </c>
      <c r="D209" s="120" t="s">
        <v>261</v>
      </c>
      <c r="E209" s="121" t="s">
        <v>107</v>
      </c>
      <c r="F209" s="121"/>
      <c r="G209" s="121" t="s">
        <v>83</v>
      </c>
      <c r="H209" s="121" t="s">
        <v>104</v>
      </c>
      <c r="I209" s="121" t="s">
        <v>105</v>
      </c>
      <c r="J209" s="107">
        <v>5474.4</v>
      </c>
      <c r="K209" s="107">
        <v>4591</v>
      </c>
      <c r="L209" s="107">
        <v>74.8</v>
      </c>
      <c r="M209" s="122">
        <v>142</v>
      </c>
      <c r="N209" s="133">
        <f t="shared" si="62"/>
        <v>24386602.277680099</v>
      </c>
      <c r="O209" s="107">
        <v>0</v>
      </c>
      <c r="P209" s="108">
        <v>5182536.9001926761</v>
      </c>
      <c r="Q209" s="108">
        <v>0</v>
      </c>
      <c r="R209" s="108">
        <f>+AR209</f>
        <v>483541.2</v>
      </c>
      <c r="S209" s="108"/>
      <c r="T209" s="107">
        <f>+'Приложение №2'!E209-'Приложение №1'!P209-'Приложение №1'!Q209-'Приложение №1'!R209-'Приложение №1'!S209</f>
        <v>18720524.177487422</v>
      </c>
      <c r="U209" s="107">
        <f t="shared" si="63"/>
        <v>5226.6711555746278</v>
      </c>
      <c r="V209" s="107">
        <f t="shared" si="63"/>
        <v>5226.6711555746278</v>
      </c>
      <c r="W209" s="135">
        <v>2023</v>
      </c>
      <c r="X209" s="34">
        <v>1911755.57</v>
      </c>
      <c r="Y209" s="34">
        <f>+(K209*9.1+L209*18.19)*12</f>
        <v>517664.54399999999</v>
      </c>
      <c r="AA209" s="35">
        <f>+N209-'[5]Приложение № 2'!E201</f>
        <v>-4262622.3036517426</v>
      </c>
      <c r="AD209" s="35">
        <f>+N209-'[5]Приложение № 2'!E201</f>
        <v>-4262622.3036517426</v>
      </c>
      <c r="AP209" s="77">
        <f>+N209-'Приложение №2'!E209</f>
        <v>0</v>
      </c>
      <c r="AQ209" s="36">
        <f>2359832.72-R18</f>
        <v>-343147.54946666723</v>
      </c>
      <c r="AR209" s="1">
        <f t="shared" si="64"/>
        <v>483541.2</v>
      </c>
      <c r="AS209" s="1">
        <f>+(K209*10+L209*20)*12*30-S18</f>
        <v>-4053688.4800000004</v>
      </c>
      <c r="AT209" s="28">
        <f t="shared" si="61"/>
        <v>4053688.4800000004</v>
      </c>
      <c r="AU209" s="28">
        <f>+P209-'[6]Приложение №1'!$P211</f>
        <v>0</v>
      </c>
      <c r="AV209" s="28">
        <f>+Q209-'[6]Приложение №1'!$Q211</f>
        <v>0</v>
      </c>
      <c r="AW209" s="28">
        <f>+R209-'[6]Приложение №1'!$R211</f>
        <v>0</v>
      </c>
      <c r="AX209" s="28">
        <f>+S209-'[6]Приложение №1'!$S211</f>
        <v>0</v>
      </c>
      <c r="AY209" s="28">
        <f>+T209-'[6]Приложение №1'!$T211</f>
        <v>12979036.736808833</v>
      </c>
    </row>
    <row r="210" spans="1:51" s="34" customFormat="1" x14ac:dyDescent="0.25">
      <c r="A210" s="137">
        <f t="shared" si="65"/>
        <v>192</v>
      </c>
      <c r="B210" s="138">
        <f t="shared" si="66"/>
        <v>4</v>
      </c>
      <c r="C210" s="120" t="s">
        <v>49</v>
      </c>
      <c r="D210" s="120" t="s">
        <v>262</v>
      </c>
      <c r="E210" s="121" t="s">
        <v>108</v>
      </c>
      <c r="F210" s="121"/>
      <c r="G210" s="121" t="s">
        <v>83</v>
      </c>
      <c r="H210" s="121" t="s">
        <v>104</v>
      </c>
      <c r="I210" s="121" t="s">
        <v>105</v>
      </c>
      <c r="J210" s="107">
        <v>4657</v>
      </c>
      <c r="K210" s="107">
        <v>4657</v>
      </c>
      <c r="L210" s="107">
        <v>0</v>
      </c>
      <c r="M210" s="122">
        <v>172</v>
      </c>
      <c r="N210" s="133">
        <f t="shared" si="62"/>
        <v>24300633.287183844</v>
      </c>
      <c r="O210" s="107">
        <v>0</v>
      </c>
      <c r="P210" s="108">
        <v>5072123.3467405867</v>
      </c>
      <c r="Q210" s="108">
        <v>0</v>
      </c>
      <c r="R210" s="108">
        <f>+AR210</f>
        <v>475014</v>
      </c>
      <c r="S210" s="108">
        <f>+'Приложение №2'!E210-'Приложение №1'!R210-P210</f>
        <v>18753495.940443255</v>
      </c>
      <c r="T210" s="107">
        <f>+'Приложение №2'!E210-'Приложение №1'!P210-'Приложение №1'!Q210-'Приложение №1'!R210-'Приложение №1'!S210</f>
        <v>0</v>
      </c>
      <c r="U210" s="107">
        <f t="shared" si="63"/>
        <v>5218.0874569860089</v>
      </c>
      <c r="V210" s="107">
        <f t="shared" si="63"/>
        <v>5218.0874569860089</v>
      </c>
      <c r="W210" s="135">
        <v>2023</v>
      </c>
      <c r="X210" s="34">
        <v>1982772.77</v>
      </c>
      <c r="Y210" s="34">
        <f>+(K210*9.1+L210*18.19)*12</f>
        <v>508544.39999999997</v>
      </c>
      <c r="AA210" s="35">
        <f>+N210-'[5]Приложение № 2'!E202</f>
        <v>11150898.617183842</v>
      </c>
      <c r="AD210" s="35">
        <f>+N210-'[5]Приложение № 2'!E202</f>
        <v>11150898.617183842</v>
      </c>
      <c r="AP210" s="77">
        <f>+N210-'Приложение №2'!E210</f>
        <v>0</v>
      </c>
      <c r="AQ210" s="36">
        <f>2457007.84-R19</f>
        <v>-475014</v>
      </c>
      <c r="AR210" s="1">
        <f t="shared" si="64"/>
        <v>475014</v>
      </c>
      <c r="AS210" s="1">
        <f>+(K210*10+L210*20)*12*30</f>
        <v>16765200</v>
      </c>
      <c r="AT210" s="28">
        <f t="shared" si="61"/>
        <v>1988295.940443255</v>
      </c>
      <c r="AU210" s="28">
        <f>+P210-'[6]Приложение №1'!$P212</f>
        <v>0</v>
      </c>
      <c r="AV210" s="28">
        <f>+Q210-'[6]Приложение №1'!$Q212</f>
        <v>0</v>
      </c>
      <c r="AW210" s="28">
        <f>+R210-'[6]Приложение №1'!$R212</f>
        <v>0</v>
      </c>
      <c r="AX210" s="28">
        <f>+S210-'[6]Приложение №1'!$S212</f>
        <v>12810530.181022979</v>
      </c>
      <c r="AY210" s="28">
        <f>+T210-'[6]Приложение №1'!$T212</f>
        <v>0</v>
      </c>
    </row>
    <row r="211" spans="1:51" s="34" customFormat="1" x14ac:dyDescent="0.25">
      <c r="A211" s="137">
        <f t="shared" si="65"/>
        <v>193</v>
      </c>
      <c r="B211" s="138">
        <f t="shared" si="66"/>
        <v>5</v>
      </c>
      <c r="C211" s="120" t="s">
        <v>49</v>
      </c>
      <c r="D211" s="120" t="s">
        <v>263</v>
      </c>
      <c r="E211" s="121" t="s">
        <v>109</v>
      </c>
      <c r="F211" s="121"/>
      <c r="G211" s="121" t="s">
        <v>83</v>
      </c>
      <c r="H211" s="121" t="s">
        <v>104</v>
      </c>
      <c r="I211" s="121" t="s">
        <v>101</v>
      </c>
      <c r="J211" s="107">
        <v>3725.7</v>
      </c>
      <c r="K211" s="107">
        <v>3170.6</v>
      </c>
      <c r="L211" s="107">
        <v>0</v>
      </c>
      <c r="M211" s="122">
        <v>120</v>
      </c>
      <c r="N211" s="133">
        <f t="shared" si="62"/>
        <v>16593212.285611872</v>
      </c>
      <c r="O211" s="107">
        <v>0</v>
      </c>
      <c r="P211" s="108">
        <v>7782041.3511919565</v>
      </c>
      <c r="Q211" s="108">
        <v>0</v>
      </c>
      <c r="R211" s="108">
        <f>+AR211</f>
        <v>323401.2</v>
      </c>
      <c r="S211" s="108"/>
      <c r="T211" s="108">
        <f>+'Приложение №2'!E211-'Приложение №1'!P211-'Приложение №1'!R211-'Приложение №1'!S211</f>
        <v>8487769.7344199158</v>
      </c>
      <c r="U211" s="107">
        <f t="shared" si="63"/>
        <v>5233.4612646224286</v>
      </c>
      <c r="V211" s="107">
        <f t="shared" si="63"/>
        <v>5233.4612646224286</v>
      </c>
      <c r="W211" s="135">
        <v>2023</v>
      </c>
      <c r="X211" s="34">
        <v>1250350.7</v>
      </c>
      <c r="Y211" s="34">
        <f>+(K211*9.1+L211*18.19)*12</f>
        <v>346229.52</v>
      </c>
      <c r="AA211" s="35">
        <f>+N211-'[5]Приложение № 2'!E203</f>
        <v>15034311.755611872</v>
      </c>
      <c r="AD211" s="35">
        <f>+N211-'[5]Приложение № 2'!E203</f>
        <v>15034311.755611872</v>
      </c>
      <c r="AP211" s="77">
        <f>+N211-'Приложение №2'!E211</f>
        <v>0</v>
      </c>
      <c r="AQ211" s="36">
        <f>1554485.44-R20</f>
        <v>-323401.19999999995</v>
      </c>
      <c r="AR211" s="1">
        <f t="shared" si="64"/>
        <v>323401.2</v>
      </c>
      <c r="AS211" s="1">
        <f>+(K211*10+L211*20)*12*30-S20</f>
        <v>0</v>
      </c>
      <c r="AT211" s="28">
        <f t="shared" si="61"/>
        <v>0</v>
      </c>
      <c r="AU211" s="28">
        <f>+P211-'[6]Приложение №1'!$P213</f>
        <v>0</v>
      </c>
      <c r="AV211" s="28">
        <f>+Q211-'[6]Приложение №1'!$Q213</f>
        <v>0</v>
      </c>
      <c r="AW211" s="28">
        <f>+R211-'[6]Приложение №1'!$R213</f>
        <v>0</v>
      </c>
      <c r="AX211" s="28">
        <f>+S211-'[6]Приложение №1'!$S213</f>
        <v>-6328277.9487973768</v>
      </c>
      <c r="AY211" s="28">
        <f>+T211-'[6]Приложение №1'!$T213</f>
        <v>8280837.2600101065</v>
      </c>
    </row>
    <row r="212" spans="1:51" x14ac:dyDescent="0.25">
      <c r="A212" s="137">
        <f t="shared" si="65"/>
        <v>194</v>
      </c>
      <c r="B212" s="138">
        <f t="shared" si="66"/>
        <v>6</v>
      </c>
      <c r="C212" s="120" t="s">
        <v>50</v>
      </c>
      <c r="D212" s="120" t="s">
        <v>271</v>
      </c>
      <c r="E212" s="121">
        <v>1985</v>
      </c>
      <c r="F212" s="121">
        <v>1985</v>
      </c>
      <c r="G212" s="121" t="s">
        <v>43</v>
      </c>
      <c r="H212" s="121">
        <v>4</v>
      </c>
      <c r="I212" s="121">
        <v>2</v>
      </c>
      <c r="J212" s="107">
        <v>1511.1</v>
      </c>
      <c r="K212" s="107">
        <v>1366.85</v>
      </c>
      <c r="L212" s="107">
        <v>0</v>
      </c>
      <c r="M212" s="122">
        <v>62</v>
      </c>
      <c r="N212" s="133">
        <f t="shared" si="62"/>
        <v>3192771.5425127186</v>
      </c>
      <c r="O212" s="107"/>
      <c r="P212" s="108">
        <v>478248.08737109351</v>
      </c>
      <c r="Q212" s="108"/>
      <c r="R212" s="108">
        <f t="shared" ref="R212:R223" si="67">+AQ212+AR212</f>
        <v>732918.84</v>
      </c>
      <c r="S212" s="108">
        <f>+'Приложение №2'!E212-'Приложение №1'!P212-'Приложение №1'!Q212-'Приложение №1'!R212</f>
        <v>1981604.6151416251</v>
      </c>
      <c r="T212" s="107"/>
      <c r="U212" s="107">
        <f t="shared" si="63"/>
        <v>2335.8609521986455</v>
      </c>
      <c r="V212" s="107">
        <f t="shared" si="63"/>
        <v>2335.8609521986455</v>
      </c>
      <c r="W212" s="135">
        <v>2023</v>
      </c>
      <c r="X212" s="28" t="e">
        <f>+#REF!-'[1]Приложение №1'!$P557</f>
        <v>#REF!</v>
      </c>
      <c r="Z212" s="30">
        <f>SUM(AA212:AO212)</f>
        <v>7089248.6021132804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/>
      <c r="AG212" s="26">
        <v>0</v>
      </c>
      <c r="AH212" s="26">
        <v>0</v>
      </c>
      <c r="AI212" s="26">
        <v>0</v>
      </c>
      <c r="AJ212" s="26">
        <v>2448913.4700000002</v>
      </c>
      <c r="AK212" s="26">
        <v>3110879.85</v>
      </c>
      <c r="AL212" s="26">
        <v>1036083.9228779406</v>
      </c>
      <c r="AM212" s="26">
        <v>392917.04065692797</v>
      </c>
      <c r="AN212" s="31">
        <v>18562.626065692799</v>
      </c>
      <c r="AO212" s="32">
        <v>81891.69251271851</v>
      </c>
      <c r="AP212" s="77">
        <f>+N212-'Приложение №2'!E212</f>
        <v>0</v>
      </c>
      <c r="AQ212" s="1">
        <v>593500.14</v>
      </c>
      <c r="AR212" s="1">
        <f t="shared" si="64"/>
        <v>139418.69999999998</v>
      </c>
      <c r="AS212" s="1">
        <f t="shared" ref="AS212:AS220" si="68">+(K212*10+L212*20)*12*30</f>
        <v>4920660</v>
      </c>
      <c r="AT212" s="28">
        <f t="shared" si="61"/>
        <v>-2939055.3848583749</v>
      </c>
      <c r="AU212" s="28">
        <f>+P212-'[6]Приложение №1'!$P214</f>
        <v>0</v>
      </c>
      <c r="AV212" s="28">
        <f>+Q212-'[6]Приложение №1'!$Q214</f>
        <v>0</v>
      </c>
      <c r="AW212" s="28">
        <f>+R212-'[6]Приложение №1'!$R214</f>
        <v>0</v>
      </c>
      <c r="AX212" s="28">
        <f>+S212-'[6]Приложение №1'!$S214</f>
        <v>0</v>
      </c>
      <c r="AY212" s="28">
        <f>+T212-'[6]Приложение №1'!$T214</f>
        <v>-12564728.044775484</v>
      </c>
    </row>
    <row r="213" spans="1:51" x14ac:dyDescent="0.25">
      <c r="A213" s="137">
        <f t="shared" si="65"/>
        <v>195</v>
      </c>
      <c r="B213" s="138">
        <f t="shared" si="66"/>
        <v>7</v>
      </c>
      <c r="C213" s="120" t="s">
        <v>50</v>
      </c>
      <c r="D213" s="120" t="s">
        <v>272</v>
      </c>
      <c r="E213" s="121">
        <v>1989</v>
      </c>
      <c r="F213" s="121">
        <v>2012</v>
      </c>
      <c r="G213" s="121" t="s">
        <v>43</v>
      </c>
      <c r="H213" s="121">
        <v>5</v>
      </c>
      <c r="I213" s="121">
        <v>4</v>
      </c>
      <c r="J213" s="107">
        <v>5759.5</v>
      </c>
      <c r="K213" s="107">
        <v>4823.5</v>
      </c>
      <c r="L213" s="107">
        <v>45.7</v>
      </c>
      <c r="M213" s="122">
        <v>161</v>
      </c>
      <c r="N213" s="133">
        <f t="shared" si="62"/>
        <v>7061196.7887973767</v>
      </c>
      <c r="O213" s="107"/>
      <c r="P213" s="108"/>
      <c r="Q213" s="108"/>
      <c r="R213" s="108">
        <f t="shared" si="67"/>
        <v>2885461.1399999997</v>
      </c>
      <c r="S213" s="108">
        <f>+'Приложение №2'!E213-'Приложение №1'!R213</f>
        <v>4175735.648797377</v>
      </c>
      <c r="T213" s="108">
        <f>+'Приложение №2'!E213-'Приложение №1'!P213-'Приложение №1'!Q213-'Приложение №1'!R213-'Приложение №1'!S213</f>
        <v>0</v>
      </c>
      <c r="U213" s="107">
        <f t="shared" si="63"/>
        <v>1450.1759608965285</v>
      </c>
      <c r="V213" s="107">
        <f t="shared" si="63"/>
        <v>1450.1759608965285</v>
      </c>
      <c r="W213" s="135">
        <v>2023</v>
      </c>
      <c r="X213" s="28" t="e">
        <f>+#REF!-'[1]Приложение №1'!$P1506</f>
        <v>#REF!</v>
      </c>
      <c r="Z213" s="30">
        <f>SUM(AA213:AO213)</f>
        <v>25451028.17090496</v>
      </c>
      <c r="AA213" s="26">
        <v>0</v>
      </c>
      <c r="AB213" s="26">
        <v>0</v>
      </c>
      <c r="AC213" s="26">
        <v>0</v>
      </c>
      <c r="AD213" s="26">
        <v>0</v>
      </c>
      <c r="AE213" s="26">
        <v>0</v>
      </c>
      <c r="AF213" s="26"/>
      <c r="AG213" s="26">
        <v>0</v>
      </c>
      <c r="AH213" s="26">
        <v>0</v>
      </c>
      <c r="AI213" s="26">
        <v>0</v>
      </c>
      <c r="AJ213" s="26">
        <v>8223538.8330426235</v>
      </c>
      <c r="AK213" s="26">
        <v>10255795.807027867</v>
      </c>
      <c r="AL213" s="26">
        <v>3687340.1494918675</v>
      </c>
      <c r="AM213" s="26">
        <v>2545102.8170904964</v>
      </c>
      <c r="AN213" s="31">
        <v>254510.28170904962</v>
      </c>
      <c r="AO213" s="32">
        <v>484740.28254305595</v>
      </c>
      <c r="AP213" s="77">
        <f>+N213-'Приложение №2'!E213</f>
        <v>0</v>
      </c>
      <c r="AQ213" s="1">
        <v>2384141.34</v>
      </c>
      <c r="AR213" s="1">
        <f t="shared" si="64"/>
        <v>501319.8</v>
      </c>
      <c r="AS213" s="1">
        <f t="shared" si="68"/>
        <v>17693640</v>
      </c>
      <c r="AT213" s="28">
        <f t="shared" si="61"/>
        <v>-13517904.351202622</v>
      </c>
      <c r="AU213" s="28">
        <f>+P213-'[6]Приложение №1'!$P215</f>
        <v>-1586711.6355164612</v>
      </c>
      <c r="AV213" s="28">
        <f>+Q213-'[6]Приложение №1'!$Q215</f>
        <v>0</v>
      </c>
      <c r="AW213" s="28">
        <f>+R213-'[6]Приложение №1'!$R215</f>
        <v>0</v>
      </c>
      <c r="AX213" s="28">
        <f>+S213-'[6]Приложение №1'!$S215</f>
        <v>0</v>
      </c>
      <c r="AY213" s="28">
        <f>+T213-'[6]Приложение №1'!$T215</f>
        <v>0</v>
      </c>
    </row>
    <row r="214" spans="1:51" s="34" customFormat="1" x14ac:dyDescent="0.25">
      <c r="A214" s="137">
        <f t="shared" si="65"/>
        <v>196</v>
      </c>
      <c r="B214" s="138">
        <f t="shared" si="66"/>
        <v>8</v>
      </c>
      <c r="C214" s="120" t="s">
        <v>775</v>
      </c>
      <c r="D214" s="120" t="s">
        <v>764</v>
      </c>
      <c r="E214" s="121" t="s">
        <v>115</v>
      </c>
      <c r="F214" s="121"/>
      <c r="G214" s="121" t="s">
        <v>83</v>
      </c>
      <c r="H214" s="121" t="s">
        <v>104</v>
      </c>
      <c r="I214" s="121" t="s">
        <v>101</v>
      </c>
      <c r="J214" s="107">
        <v>3731.6</v>
      </c>
      <c r="K214" s="107">
        <v>3131.6</v>
      </c>
      <c r="L214" s="107">
        <v>600</v>
      </c>
      <c r="M214" s="122">
        <v>135</v>
      </c>
      <c r="N214" s="133">
        <f t="shared" si="62"/>
        <v>31671448.266631678</v>
      </c>
      <c r="O214" s="107">
        <v>0</v>
      </c>
      <c r="P214" s="108">
        <v>1120717.4520800433</v>
      </c>
      <c r="Q214" s="108">
        <v>0</v>
      </c>
      <c r="R214" s="108">
        <f t="shared" si="67"/>
        <v>1473604.42</v>
      </c>
      <c r="S214" s="108">
        <f t="shared" ref="S214:S219" si="69">+AS214</f>
        <v>15593760</v>
      </c>
      <c r="T214" s="108">
        <f>+'Приложение №2'!E214-'Приложение №1'!P214-'Приложение №1'!R214-'Приложение №1'!S214</f>
        <v>13483366.394551635</v>
      </c>
      <c r="U214" s="107">
        <f t="shared" si="63"/>
        <v>8487.3642048000002</v>
      </c>
      <c r="V214" s="107">
        <f t="shared" si="63"/>
        <v>8487.3642048000002</v>
      </c>
      <c r="W214" s="135">
        <v>2023</v>
      </c>
      <c r="X214" s="34">
        <v>812156.34</v>
      </c>
      <c r="Y214" s="34">
        <f t="shared" ref="Y214:Y219" si="70">+(K214*9.1+L214*18.19)*12</f>
        <v>472938.72</v>
      </c>
      <c r="AA214" s="35">
        <f>+N214-'[5]Приложение № 2'!E205</f>
        <v>24860114.835486077</v>
      </c>
      <c r="AD214" s="35">
        <f>+N214-'[5]Приложение № 2'!E205</f>
        <v>24860114.835486077</v>
      </c>
      <c r="AP214" s="77">
        <f>+N214-'Приложение №2'!E214</f>
        <v>0</v>
      </c>
      <c r="AQ214" s="34">
        <v>1031781.22</v>
      </c>
      <c r="AR214" s="1">
        <f t="shared" si="64"/>
        <v>441823.2</v>
      </c>
      <c r="AS214" s="1">
        <f t="shared" si="68"/>
        <v>15593760</v>
      </c>
      <c r="AT214" s="28">
        <f t="shared" si="61"/>
        <v>0</v>
      </c>
      <c r="AU214" s="28">
        <f>+P214-'[6]Приложение №1'!$P216</f>
        <v>0</v>
      </c>
      <c r="AV214" s="28">
        <f>+Q214-'[6]Приложение №1'!$Q216</f>
        <v>0</v>
      </c>
      <c r="AW214" s="28">
        <f>+R214-'[6]Приложение №1'!$R216</f>
        <v>0</v>
      </c>
      <c r="AX214" s="28">
        <f>+S214-'[6]Приложение №1'!$S216</f>
        <v>0</v>
      </c>
      <c r="AY214" s="28">
        <f>+T214-'[6]Приложение №1'!$T216</f>
        <v>12725074.575310891</v>
      </c>
    </row>
    <row r="215" spans="1:51" s="34" customFormat="1" x14ac:dyDescent="0.25">
      <c r="A215" s="137">
        <f t="shared" si="65"/>
        <v>197</v>
      </c>
      <c r="B215" s="138">
        <f t="shared" si="66"/>
        <v>9</v>
      </c>
      <c r="C215" s="120" t="s">
        <v>775</v>
      </c>
      <c r="D215" s="120" t="s">
        <v>765</v>
      </c>
      <c r="E215" s="121" t="s">
        <v>116</v>
      </c>
      <c r="F215" s="121"/>
      <c r="G215" s="121" t="s">
        <v>83</v>
      </c>
      <c r="H215" s="121" t="s">
        <v>104</v>
      </c>
      <c r="I215" s="121" t="s">
        <v>104</v>
      </c>
      <c r="J215" s="107">
        <v>4283</v>
      </c>
      <c r="K215" s="107">
        <v>3860.1</v>
      </c>
      <c r="L215" s="107">
        <v>409</v>
      </c>
      <c r="M215" s="122">
        <v>142</v>
      </c>
      <c r="N215" s="133">
        <f t="shared" si="62"/>
        <v>36233406.526711687</v>
      </c>
      <c r="O215" s="107">
        <v>0</v>
      </c>
      <c r="P215" s="108">
        <v>1586711.6355164612</v>
      </c>
      <c r="Q215" s="108">
        <v>0</v>
      </c>
      <c r="R215" s="108">
        <f t="shared" si="67"/>
        <v>1815383.5899999999</v>
      </c>
      <c r="S215" s="108">
        <f t="shared" si="69"/>
        <v>16841160</v>
      </c>
      <c r="T215" s="108">
        <f>+'Приложение №2'!E215-'Приложение №1'!P215-'Приложение №1'!R215-'Приложение №1'!S215</f>
        <v>15990151.301195223</v>
      </c>
      <c r="U215" s="107">
        <f t="shared" si="63"/>
        <v>8487.3642048000002</v>
      </c>
      <c r="V215" s="107">
        <f t="shared" si="63"/>
        <v>8487.3642048000002</v>
      </c>
      <c r="W215" s="135">
        <v>2023</v>
      </c>
      <c r="X215" s="34">
        <v>1086066.79</v>
      </c>
      <c r="Y215" s="34">
        <f t="shared" si="70"/>
        <v>510799.43999999994</v>
      </c>
      <c r="AA215" s="35">
        <f>+N215-'[5]Приложение № 2'!E206</f>
        <v>23104224.226711687</v>
      </c>
      <c r="AD215" s="35">
        <f>+N215-'[5]Приложение № 2'!E206</f>
        <v>23104224.226711687</v>
      </c>
      <c r="AP215" s="77">
        <f>+N215-'Приложение №2'!E215</f>
        <v>0</v>
      </c>
      <c r="AQ215" s="34">
        <v>1338217.3899999999</v>
      </c>
      <c r="AR215" s="1">
        <f t="shared" si="64"/>
        <v>477166.2</v>
      </c>
      <c r="AS215" s="1">
        <f t="shared" si="68"/>
        <v>16841160</v>
      </c>
      <c r="AT215" s="28">
        <f t="shared" si="61"/>
        <v>0</v>
      </c>
      <c r="AU215" s="28">
        <f>+P215-'[6]Приложение №1'!$P217</f>
        <v>0</v>
      </c>
      <c r="AV215" s="28">
        <f>+Q215-'[6]Приложение №1'!$Q217</f>
        <v>0</v>
      </c>
      <c r="AW215" s="28">
        <f>+R215-'[6]Приложение №1'!$R217</f>
        <v>0</v>
      </c>
      <c r="AX215" s="28">
        <f>+S215-'[6]Приложение №1'!$S217</f>
        <v>0</v>
      </c>
      <c r="AY215" s="28">
        <f>+T215-'[6]Приложение №1'!$T217</f>
        <v>14476101.558285017</v>
      </c>
    </row>
    <row r="216" spans="1:51" s="34" customFormat="1" x14ac:dyDescent="0.25">
      <c r="A216" s="137">
        <f t="shared" si="65"/>
        <v>198</v>
      </c>
      <c r="B216" s="138">
        <f t="shared" si="66"/>
        <v>10</v>
      </c>
      <c r="C216" s="120" t="s">
        <v>775</v>
      </c>
      <c r="D216" s="120" t="s">
        <v>766</v>
      </c>
      <c r="E216" s="121" t="s">
        <v>117</v>
      </c>
      <c r="F216" s="121"/>
      <c r="G216" s="121" t="s">
        <v>83</v>
      </c>
      <c r="H216" s="121" t="s">
        <v>104</v>
      </c>
      <c r="I216" s="121" t="s">
        <v>97</v>
      </c>
      <c r="J216" s="107">
        <v>3806</v>
      </c>
      <c r="K216" s="107">
        <v>3356.9</v>
      </c>
      <c r="L216" s="107">
        <v>351</v>
      </c>
      <c r="M216" s="122">
        <v>104</v>
      </c>
      <c r="N216" s="133">
        <f t="shared" si="62"/>
        <v>31470297.734977923</v>
      </c>
      <c r="O216" s="107">
        <v>0</v>
      </c>
      <c r="P216" s="108">
        <v>1385807.9601764705</v>
      </c>
      <c r="Q216" s="108">
        <v>0</v>
      </c>
      <c r="R216" s="108">
        <f t="shared" si="67"/>
        <v>1723427.12</v>
      </c>
      <c r="S216" s="108">
        <f t="shared" si="69"/>
        <v>14612040</v>
      </c>
      <c r="T216" s="108">
        <f>+'Приложение №2'!E216-'Приложение №1'!P216-'Приложение №1'!R216-'Приложение №1'!S216</f>
        <v>13749022.654801451</v>
      </c>
      <c r="U216" s="107">
        <f t="shared" si="63"/>
        <v>8487.3642048000002</v>
      </c>
      <c r="V216" s="107">
        <f t="shared" si="63"/>
        <v>8487.3642048000002</v>
      </c>
      <c r="W216" s="135">
        <v>2023</v>
      </c>
      <c r="X216" s="34">
        <v>1052695.6299999999</v>
      </c>
      <c r="Y216" s="34">
        <f t="shared" si="70"/>
        <v>443189.76000000001</v>
      </c>
      <c r="AA216" s="35">
        <f>+N216-'[5]Приложение № 2'!E207</f>
        <v>18127478.89497792</v>
      </c>
      <c r="AD216" s="35">
        <f>+N216-'[5]Приложение № 2'!E207</f>
        <v>18127478.89497792</v>
      </c>
      <c r="AP216" s="77">
        <f>+N216-'Приложение №2'!E216</f>
        <v>0</v>
      </c>
      <c r="AQ216" s="34">
        <v>1309419.32</v>
      </c>
      <c r="AR216" s="1">
        <f t="shared" si="64"/>
        <v>414007.8</v>
      </c>
      <c r="AS216" s="1">
        <f t="shared" si="68"/>
        <v>14612040</v>
      </c>
      <c r="AT216" s="28">
        <f t="shared" si="61"/>
        <v>0</v>
      </c>
      <c r="AU216" s="28">
        <f>+P216-'[6]Приложение №1'!$P218</f>
        <v>0</v>
      </c>
      <c r="AV216" s="28">
        <f>+Q216-'[6]Приложение №1'!$Q218</f>
        <v>0</v>
      </c>
      <c r="AW216" s="28">
        <f>+R216-'[6]Приложение №1'!$R218</f>
        <v>0</v>
      </c>
      <c r="AX216" s="28">
        <f>+S216-'[6]Приложение №1'!$S218</f>
        <v>0</v>
      </c>
      <c r="AY216" s="28">
        <f>+T216-'[6]Приложение №1'!$T218</f>
        <v>12078337.628338061</v>
      </c>
    </row>
    <row r="217" spans="1:51" s="34" customFormat="1" x14ac:dyDescent="0.25">
      <c r="A217" s="137">
        <f t="shared" si="65"/>
        <v>199</v>
      </c>
      <c r="B217" s="138">
        <f t="shared" si="66"/>
        <v>11</v>
      </c>
      <c r="C217" s="120" t="s">
        <v>775</v>
      </c>
      <c r="D217" s="120" t="s">
        <v>767</v>
      </c>
      <c r="E217" s="121" t="s">
        <v>100</v>
      </c>
      <c r="F217" s="121"/>
      <c r="G217" s="121" t="s">
        <v>83</v>
      </c>
      <c r="H217" s="121" t="s">
        <v>104</v>
      </c>
      <c r="I217" s="121" t="s">
        <v>97</v>
      </c>
      <c r="J217" s="107">
        <v>3860</v>
      </c>
      <c r="K217" s="107">
        <v>3379.8</v>
      </c>
      <c r="L217" s="107">
        <v>405</v>
      </c>
      <c r="M217" s="122">
        <v>121</v>
      </c>
      <c r="N217" s="133">
        <f t="shared" si="62"/>
        <v>32122976.042327043</v>
      </c>
      <c r="O217" s="107">
        <v>0</v>
      </c>
      <c r="P217" s="108">
        <v>1423763.6988494929</v>
      </c>
      <c r="Q217" s="108">
        <v>0</v>
      </c>
      <c r="R217" s="108">
        <f t="shared" si="67"/>
        <v>1519004.0299999998</v>
      </c>
      <c r="S217" s="108">
        <f t="shared" si="69"/>
        <v>15083280</v>
      </c>
      <c r="T217" s="108">
        <f>+'Приложение №2'!E217-'Приложение №1'!P217-'Приложение №1'!R217-'Приложение №1'!S217</f>
        <v>14096928.31347755</v>
      </c>
      <c r="U217" s="107">
        <f t="shared" si="63"/>
        <v>8487.3642048000002</v>
      </c>
      <c r="V217" s="107">
        <f t="shared" si="63"/>
        <v>8487.3642048000002</v>
      </c>
      <c r="W217" s="135">
        <v>2023</v>
      </c>
      <c r="X217" s="34">
        <v>866092.98</v>
      </c>
      <c r="Y217" s="34">
        <f t="shared" si="70"/>
        <v>457477.56000000006</v>
      </c>
      <c r="AA217" s="35">
        <f>+N217-'[5]Приложение № 2'!E208</f>
        <v>25055494.617571842</v>
      </c>
      <c r="AD217" s="35">
        <f>+N217-'[5]Приложение № 2'!E208</f>
        <v>25055494.617571842</v>
      </c>
      <c r="AP217" s="77">
        <f>+N217-'Приложение №2'!E217</f>
        <v>0</v>
      </c>
      <c r="AQ217" s="34">
        <v>1091644.43</v>
      </c>
      <c r="AR217" s="1">
        <f t="shared" si="64"/>
        <v>427359.6</v>
      </c>
      <c r="AS217" s="1">
        <f t="shared" si="68"/>
        <v>15083280</v>
      </c>
      <c r="AT217" s="28">
        <f t="shared" si="61"/>
        <v>0</v>
      </c>
      <c r="AU217" s="28">
        <f>+P217-'[6]Приложение №1'!$P219</f>
        <v>0</v>
      </c>
      <c r="AV217" s="28">
        <f>+Q217-'[6]Приложение №1'!$Q219</f>
        <v>0</v>
      </c>
      <c r="AW217" s="28">
        <f>+R217-'[6]Приложение №1'!$R219</f>
        <v>0</v>
      </c>
      <c r="AX217" s="28">
        <f>+S217-'[6]Приложение №1'!$S219</f>
        <v>0</v>
      </c>
      <c r="AY217" s="28">
        <f>+T217-'[6]Приложение №1'!$T219</f>
        <v>12488055.489013886</v>
      </c>
    </row>
    <row r="218" spans="1:51" s="34" customFormat="1" x14ac:dyDescent="0.25">
      <c r="A218" s="137">
        <f t="shared" si="65"/>
        <v>200</v>
      </c>
      <c r="B218" s="138">
        <f t="shared" si="66"/>
        <v>12</v>
      </c>
      <c r="C218" s="120" t="s">
        <v>775</v>
      </c>
      <c r="D218" s="120" t="s">
        <v>768</v>
      </c>
      <c r="E218" s="121" t="s">
        <v>103</v>
      </c>
      <c r="F218" s="121"/>
      <c r="G218" s="121" t="s">
        <v>83</v>
      </c>
      <c r="H218" s="121" t="s">
        <v>104</v>
      </c>
      <c r="I218" s="121" t="s">
        <v>97</v>
      </c>
      <c r="J218" s="107">
        <v>3821</v>
      </c>
      <c r="K218" s="107">
        <v>3372.2</v>
      </c>
      <c r="L218" s="107">
        <v>340</v>
      </c>
      <c r="M218" s="122">
        <v>99</v>
      </c>
      <c r="N218" s="133">
        <f t="shared" si="62"/>
        <v>31506793.401058555</v>
      </c>
      <c r="O218" s="107">
        <v>0</v>
      </c>
      <c r="P218" s="108">
        <v>1428537.26925231</v>
      </c>
      <c r="Q218" s="108">
        <v>0</v>
      </c>
      <c r="R218" s="108">
        <f t="shared" si="67"/>
        <v>1661944.5499999998</v>
      </c>
      <c r="S218" s="108">
        <f t="shared" si="69"/>
        <v>14587920</v>
      </c>
      <c r="T218" s="108">
        <f>+'Приложение №2'!E218-'Приложение №1'!P218-'Приложение №1'!R218-'Приложение №1'!S218</f>
        <v>13828391.581806246</v>
      </c>
      <c r="U218" s="107">
        <f t="shared" si="63"/>
        <v>8487.3642047999983</v>
      </c>
      <c r="V218" s="107">
        <f t="shared" si="63"/>
        <v>8487.3642047999983</v>
      </c>
      <c r="W218" s="135">
        <v>2023</v>
      </c>
      <c r="X218" s="34">
        <v>992414.38</v>
      </c>
      <c r="Y218" s="34">
        <f t="shared" si="70"/>
        <v>442459.43999999994</v>
      </c>
      <c r="AA218" s="35">
        <f>+N218-'[5]Приложение № 2'!E209</f>
        <v>21670220.060223356</v>
      </c>
      <c r="AD218" s="35">
        <f>+N218-'[5]Приложение № 2'!E209</f>
        <v>21670220.060223356</v>
      </c>
      <c r="AP218" s="77">
        <f>+N218-'Приложение №2'!E218</f>
        <v>0</v>
      </c>
      <c r="AQ218" s="34">
        <v>1248620.1499999999</v>
      </c>
      <c r="AR218" s="1">
        <f t="shared" si="64"/>
        <v>413324.39999999997</v>
      </c>
      <c r="AS218" s="1">
        <f t="shared" si="68"/>
        <v>14587920</v>
      </c>
      <c r="AT218" s="28">
        <f t="shared" si="61"/>
        <v>0</v>
      </c>
      <c r="AU218" s="28">
        <f>+P218-'[6]Приложение №1'!$P220</f>
        <v>0</v>
      </c>
      <c r="AV218" s="28">
        <f>+Q218-'[6]Приложение №1'!$Q220</f>
        <v>0</v>
      </c>
      <c r="AW218" s="28">
        <f>+R218-'[6]Приложение №1'!$R220</f>
        <v>0</v>
      </c>
      <c r="AX218" s="28">
        <f>+S218-'[6]Приложение №1'!$S220</f>
        <v>0</v>
      </c>
      <c r="AY218" s="28">
        <f>+T218-'[6]Приложение №1'!$T220</f>
        <v>12063777.647009447</v>
      </c>
    </row>
    <row r="219" spans="1:51" s="34" customFormat="1" x14ac:dyDescent="0.25">
      <c r="A219" s="137">
        <f t="shared" si="65"/>
        <v>201</v>
      </c>
      <c r="B219" s="138">
        <f t="shared" si="66"/>
        <v>13</v>
      </c>
      <c r="C219" s="120" t="s">
        <v>775</v>
      </c>
      <c r="D219" s="120" t="s">
        <v>769</v>
      </c>
      <c r="E219" s="121" t="s">
        <v>118</v>
      </c>
      <c r="F219" s="121"/>
      <c r="G219" s="121" t="s">
        <v>83</v>
      </c>
      <c r="H219" s="121" t="s">
        <v>104</v>
      </c>
      <c r="I219" s="121" t="s">
        <v>95</v>
      </c>
      <c r="J219" s="107">
        <v>2573</v>
      </c>
      <c r="K219" s="107">
        <v>2123.1</v>
      </c>
      <c r="L219" s="107">
        <v>269</v>
      </c>
      <c r="M219" s="122">
        <v>69</v>
      </c>
      <c r="N219" s="133">
        <f t="shared" si="62"/>
        <v>20302623.914302077</v>
      </c>
      <c r="O219" s="107">
        <v>0</v>
      </c>
      <c r="P219" s="108">
        <v>935511.44753736479</v>
      </c>
      <c r="Q219" s="108">
        <v>0</v>
      </c>
      <c r="R219" s="108">
        <f t="shared" si="67"/>
        <v>1041519.8300000001</v>
      </c>
      <c r="S219" s="108">
        <f t="shared" si="69"/>
        <v>9579960</v>
      </c>
      <c r="T219" s="108">
        <f>+'Приложение №2'!E219-'Приложение №1'!P219-'Приложение №1'!R219-'Приложение №1'!S219</f>
        <v>8745632.6367647126</v>
      </c>
      <c r="U219" s="107">
        <f t="shared" si="63"/>
        <v>8487.3642047999983</v>
      </c>
      <c r="V219" s="107">
        <f t="shared" si="63"/>
        <v>8487.3642047999983</v>
      </c>
      <c r="W219" s="135">
        <v>2023</v>
      </c>
      <c r="X219" s="34">
        <v>606999.5</v>
      </c>
      <c r="Y219" s="34">
        <f t="shared" si="70"/>
        <v>290559.83999999997</v>
      </c>
      <c r="AA219" s="35">
        <f>+N219-'[5]Приложение № 2'!E210</f>
        <v>18786880.614302076</v>
      </c>
      <c r="AD219" s="35">
        <f>+N219-'[5]Приложение № 2'!E210</f>
        <v>18786880.614302076</v>
      </c>
      <c r="AP219" s="77">
        <f>+N219-'Приложение №2'!E219</f>
        <v>0</v>
      </c>
      <c r="AQ219" s="34">
        <v>770087.63</v>
      </c>
      <c r="AR219" s="1">
        <f t="shared" si="64"/>
        <v>271432.2</v>
      </c>
      <c r="AS219" s="1">
        <f t="shared" si="68"/>
        <v>9579960</v>
      </c>
      <c r="AT219" s="28">
        <f t="shared" si="61"/>
        <v>0</v>
      </c>
      <c r="AU219" s="28">
        <f>+P219-'[6]Приложение №1'!$P221</f>
        <v>0</v>
      </c>
      <c r="AV219" s="28">
        <f>+Q219-'[6]Приложение №1'!$Q221</f>
        <v>0</v>
      </c>
      <c r="AW219" s="28">
        <f>+R219-'[6]Приложение №1'!$R221</f>
        <v>0</v>
      </c>
      <c r="AX219" s="28">
        <f>+S219-'[6]Приложение №1'!$S221</f>
        <v>0</v>
      </c>
      <c r="AY219" s="28">
        <f>+T219-'[6]Приложение №1'!$T221</f>
        <v>7090717.5705296881</v>
      </c>
    </row>
    <row r="220" spans="1:51" x14ac:dyDescent="0.25">
      <c r="A220" s="137">
        <f t="shared" si="65"/>
        <v>202</v>
      </c>
      <c r="B220" s="138">
        <f t="shared" si="66"/>
        <v>14</v>
      </c>
      <c r="C220" s="120" t="s">
        <v>81</v>
      </c>
      <c r="D220" s="120" t="s">
        <v>298</v>
      </c>
      <c r="E220" s="121">
        <v>1983</v>
      </c>
      <c r="F220" s="121">
        <v>2016</v>
      </c>
      <c r="G220" s="121" t="s">
        <v>83</v>
      </c>
      <c r="H220" s="121">
        <v>4</v>
      </c>
      <c r="I220" s="121">
        <v>6</v>
      </c>
      <c r="J220" s="107">
        <v>4031.7</v>
      </c>
      <c r="K220" s="107">
        <v>3532.1</v>
      </c>
      <c r="L220" s="107">
        <v>54.9</v>
      </c>
      <c r="M220" s="122">
        <v>133</v>
      </c>
      <c r="N220" s="133">
        <f t="shared" si="62"/>
        <v>2774182.8301903871</v>
      </c>
      <c r="O220" s="107"/>
      <c r="P220" s="108"/>
      <c r="Q220" s="108"/>
      <c r="R220" s="108">
        <f t="shared" si="67"/>
        <v>1943422.02</v>
      </c>
      <c r="S220" s="108">
        <f>+'Приложение №2'!E220-'Приложение №1'!R220</f>
        <v>830760.81019038707</v>
      </c>
      <c r="T220" s="108">
        <v>0</v>
      </c>
      <c r="U220" s="107">
        <f t="shared" si="63"/>
        <v>773.39917206311316</v>
      </c>
      <c r="V220" s="107">
        <f t="shared" si="63"/>
        <v>773.39917206311316</v>
      </c>
      <c r="W220" s="135">
        <v>2023</v>
      </c>
      <c r="X220" s="28" t="e">
        <f>+#REF!-'[1]Приложение №1'!$P558</f>
        <v>#REF!</v>
      </c>
      <c r="Z220" s="30">
        <f t="shared" ref="Z220:Z226" si="71">SUM(AA220:AO220)</f>
        <v>3117059.35976448</v>
      </c>
      <c r="AA220" s="26">
        <v>0</v>
      </c>
      <c r="AB220" s="26">
        <v>0</v>
      </c>
      <c r="AC220" s="26">
        <v>2714815.3176243128</v>
      </c>
      <c r="AD220" s="26">
        <v>0</v>
      </c>
      <c r="AE220" s="26">
        <v>0</v>
      </c>
      <c r="AF220" s="26"/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6">
        <v>0</v>
      </c>
      <c r="AM220" s="26">
        <v>311705.935976448</v>
      </c>
      <c r="AN220" s="31">
        <v>31170.593597644802</v>
      </c>
      <c r="AO220" s="32">
        <v>59367.512566074292</v>
      </c>
      <c r="AP220" s="77">
        <f>+N220-'Приложение №2'!E220</f>
        <v>0</v>
      </c>
      <c r="AQ220" s="1">
        <v>1571948.22</v>
      </c>
      <c r="AR220" s="1">
        <f t="shared" si="64"/>
        <v>371473.8</v>
      </c>
      <c r="AS220" s="1">
        <f t="shared" si="68"/>
        <v>13110840</v>
      </c>
      <c r="AT220" s="28">
        <f t="shared" si="61"/>
        <v>-12280079.189809613</v>
      </c>
      <c r="AU220" s="28">
        <f>+P220-'[6]Приложение №1'!$P222</f>
        <v>0</v>
      </c>
      <c r="AV220" s="28">
        <f>+Q220-'[6]Приложение №1'!$Q222</f>
        <v>0</v>
      </c>
      <c r="AW220" s="28">
        <f>+R220-'[6]Приложение №1'!$R222</f>
        <v>0</v>
      </c>
      <c r="AX220" s="28">
        <f>+S220-'[6]Приложение №1'!$S222</f>
        <v>0</v>
      </c>
      <c r="AY220" s="28">
        <f>+T220-'[6]Приложение №1'!$T222</f>
        <v>0</v>
      </c>
    </row>
    <row r="221" spans="1:51" x14ac:dyDescent="0.25">
      <c r="A221" s="137">
        <f t="shared" si="65"/>
        <v>203</v>
      </c>
      <c r="B221" s="138">
        <f t="shared" si="66"/>
        <v>15</v>
      </c>
      <c r="C221" s="120" t="s">
        <v>81</v>
      </c>
      <c r="D221" s="120" t="s">
        <v>299</v>
      </c>
      <c r="E221" s="121">
        <v>1986</v>
      </c>
      <c r="F221" s="121">
        <v>2017</v>
      </c>
      <c r="G221" s="121" t="s">
        <v>83</v>
      </c>
      <c r="H221" s="121">
        <v>9</v>
      </c>
      <c r="I221" s="121">
        <v>1</v>
      </c>
      <c r="J221" s="107">
        <v>3148.9</v>
      </c>
      <c r="K221" s="107">
        <v>2686.2</v>
      </c>
      <c r="L221" s="107">
        <v>0</v>
      </c>
      <c r="M221" s="122">
        <v>112</v>
      </c>
      <c r="N221" s="133">
        <f t="shared" si="62"/>
        <v>1941089.6798392318</v>
      </c>
      <c r="O221" s="107"/>
      <c r="P221" s="108"/>
      <c r="Q221" s="108"/>
      <c r="R221" s="108">
        <f t="shared" si="67"/>
        <v>1857150.5096</v>
      </c>
      <c r="S221" s="108">
        <f>+'Приложение №2'!E221-'Приложение №1'!R221</f>
        <v>83939.170239231782</v>
      </c>
      <c r="T221" s="108">
        <v>0</v>
      </c>
      <c r="U221" s="107">
        <f t="shared" si="63"/>
        <v>722.61547161016745</v>
      </c>
      <c r="V221" s="107">
        <f t="shared" si="63"/>
        <v>722.61547161016745</v>
      </c>
      <c r="W221" s="135">
        <v>2023</v>
      </c>
      <c r="X221" s="28" t="e">
        <f>+#REF!-'[1]Приложение №1'!$P915</f>
        <v>#REF!</v>
      </c>
      <c r="Z221" s="30">
        <f t="shared" si="71"/>
        <v>9697051.4923279285</v>
      </c>
      <c r="AA221" s="26">
        <v>6428049.5552969025</v>
      </c>
      <c r="AB221" s="26">
        <v>0</v>
      </c>
      <c r="AC221" s="26">
        <v>1899550.3606906722</v>
      </c>
      <c r="AD221" s="26">
        <v>0</v>
      </c>
      <c r="AE221" s="26">
        <v>0</v>
      </c>
      <c r="AF221" s="26"/>
      <c r="AG221" s="26">
        <v>285589.26987220609</v>
      </c>
      <c r="AH221" s="26">
        <v>0</v>
      </c>
      <c r="AI221" s="26">
        <v>0</v>
      </c>
      <c r="AJ221" s="26">
        <v>0</v>
      </c>
      <c r="AK221" s="26">
        <v>0</v>
      </c>
      <c r="AL221" s="26">
        <v>0</v>
      </c>
      <c r="AM221" s="26">
        <v>798538.78870673361</v>
      </c>
      <c r="AN221" s="31">
        <v>96970.51492327929</v>
      </c>
      <c r="AO221" s="32">
        <v>188353.00283813541</v>
      </c>
      <c r="AP221" s="77">
        <f>+N221-'Приложение №2'!E221</f>
        <v>0</v>
      </c>
      <c r="AQ221" s="1">
        <v>1493014.61</v>
      </c>
      <c r="AR221" s="1">
        <f>+(K221*13.29+L221*22.52)*12*0.85</f>
        <v>364135.89959999995</v>
      </c>
      <c r="AS221" s="1">
        <f>+(K221*13.29+L221*22.52)*12*30</f>
        <v>12851855.279999999</v>
      </c>
      <c r="AT221" s="28">
        <f t="shared" si="61"/>
        <v>-12767916.109760767</v>
      </c>
      <c r="AU221" s="28">
        <f>+P221-'[6]Приложение №1'!$P223</f>
        <v>0</v>
      </c>
      <c r="AV221" s="28">
        <f>+Q221-'[6]Приложение №1'!$Q223</f>
        <v>0</v>
      </c>
      <c r="AW221" s="28">
        <f>+R221-'[6]Приложение №1'!$R223</f>
        <v>0</v>
      </c>
      <c r="AX221" s="28">
        <f>+S221-'[6]Приложение №1'!$S223</f>
        <v>0</v>
      </c>
      <c r="AY221" s="28">
        <f>+T221-'[6]Приложение №1'!$T223</f>
        <v>0</v>
      </c>
    </row>
    <row r="222" spans="1:51" x14ac:dyDescent="0.25">
      <c r="A222" s="137">
        <f t="shared" si="65"/>
        <v>204</v>
      </c>
      <c r="B222" s="138">
        <f t="shared" si="66"/>
        <v>16</v>
      </c>
      <c r="C222" s="120" t="s">
        <v>81</v>
      </c>
      <c r="D222" s="120" t="s">
        <v>300</v>
      </c>
      <c r="E222" s="121">
        <v>1990</v>
      </c>
      <c r="F222" s="121">
        <v>1990</v>
      </c>
      <c r="G222" s="121" t="s">
        <v>83</v>
      </c>
      <c r="H222" s="121">
        <v>5</v>
      </c>
      <c r="I222" s="121">
        <v>6</v>
      </c>
      <c r="J222" s="107">
        <v>5149.8999999999996</v>
      </c>
      <c r="K222" s="107">
        <v>4605.8</v>
      </c>
      <c r="L222" s="107">
        <v>0</v>
      </c>
      <c r="M222" s="122">
        <v>217</v>
      </c>
      <c r="N222" s="133">
        <f t="shared" si="62"/>
        <v>3942804.3934862674</v>
      </c>
      <c r="O222" s="107"/>
      <c r="P222" s="108"/>
      <c r="Q222" s="108"/>
      <c r="R222" s="108">
        <f t="shared" si="67"/>
        <v>1325372.3700000001</v>
      </c>
      <c r="S222" s="108">
        <f>+'Приложение №2'!E222-'Приложение №1'!R222</f>
        <v>2617432.0234862673</v>
      </c>
      <c r="T222" s="108">
        <v>0</v>
      </c>
      <c r="U222" s="107">
        <f t="shared" si="63"/>
        <v>856.05201995012101</v>
      </c>
      <c r="V222" s="107">
        <f t="shared" si="63"/>
        <v>856.05201995012101</v>
      </c>
      <c r="W222" s="135">
        <v>2023</v>
      </c>
      <c r="X222" s="28" t="e">
        <f>+#REF!-'[1]Приложение №1'!$P917</f>
        <v>#REF!</v>
      </c>
      <c r="Z222" s="30">
        <f t="shared" si="71"/>
        <v>23542253.379726686</v>
      </c>
      <c r="AA222" s="26">
        <v>9139483.8463669065</v>
      </c>
      <c r="AB222" s="26">
        <v>3911901.5457636653</v>
      </c>
      <c r="AC222" s="26">
        <v>3492077.6109207738</v>
      </c>
      <c r="AD222" s="26">
        <v>3688350.5075333579</v>
      </c>
      <c r="AE222" s="26">
        <v>0</v>
      </c>
      <c r="AF222" s="26"/>
      <c r="AG222" s="26">
        <v>379458.89215323428</v>
      </c>
      <c r="AH222" s="26">
        <v>0</v>
      </c>
      <c r="AI222" s="26">
        <v>0</v>
      </c>
      <c r="AJ222" s="26">
        <v>0</v>
      </c>
      <c r="AK222" s="26">
        <v>0</v>
      </c>
      <c r="AL222" s="26">
        <v>0</v>
      </c>
      <c r="AM222" s="26">
        <v>2244831.6606259868</v>
      </c>
      <c r="AN222" s="31">
        <v>235422.53379726686</v>
      </c>
      <c r="AO222" s="32">
        <v>450726.78256549343</v>
      </c>
      <c r="AP222" s="77">
        <f>+N222-'Приложение №2'!E222</f>
        <v>0</v>
      </c>
      <c r="AQ222" s="1">
        <f>2264861.1-76133.85-1333146.48</f>
        <v>855580.77</v>
      </c>
      <c r="AR222" s="1">
        <f>+(K222*10+L222*20)*12*0.85</f>
        <v>469791.6</v>
      </c>
      <c r="AS222" s="1">
        <f>+(K222*10+L222*20)*12*30-5321889.99-2719635.2</f>
        <v>8539354.8099999987</v>
      </c>
      <c r="AT222" s="28">
        <f t="shared" si="61"/>
        <v>-5921922.7865137309</v>
      </c>
      <c r="AU222" s="28">
        <f>+P222-'[6]Приложение №1'!$P224</f>
        <v>0</v>
      </c>
      <c r="AV222" s="28">
        <f>+Q222-'[6]Приложение №1'!$Q224</f>
        <v>0</v>
      </c>
      <c r="AW222" s="28">
        <f>+R222-'[6]Приложение №1'!$R224</f>
        <v>0</v>
      </c>
      <c r="AX222" s="28">
        <f>+S222-'[6]Приложение №1'!$S224</f>
        <v>0</v>
      </c>
      <c r="AY222" s="28">
        <f>+T222-'[6]Приложение №1'!$T224</f>
        <v>0</v>
      </c>
    </row>
    <row r="223" spans="1:51" x14ac:dyDescent="0.25">
      <c r="A223" s="137">
        <f t="shared" si="65"/>
        <v>205</v>
      </c>
      <c r="B223" s="138">
        <f t="shared" si="66"/>
        <v>17</v>
      </c>
      <c r="C223" s="120" t="s">
        <v>81</v>
      </c>
      <c r="D223" s="120" t="s">
        <v>301</v>
      </c>
      <c r="E223" s="121">
        <v>1981</v>
      </c>
      <c r="F223" s="121">
        <v>2010</v>
      </c>
      <c r="G223" s="121" t="s">
        <v>43</v>
      </c>
      <c r="H223" s="121">
        <v>4</v>
      </c>
      <c r="I223" s="121">
        <v>6</v>
      </c>
      <c r="J223" s="107">
        <v>4191.3</v>
      </c>
      <c r="K223" s="107">
        <v>2691</v>
      </c>
      <c r="L223" s="107">
        <v>827.4</v>
      </c>
      <c r="M223" s="122">
        <v>128</v>
      </c>
      <c r="N223" s="133">
        <f t="shared" si="62"/>
        <v>2933317.4926648322</v>
      </c>
      <c r="O223" s="107"/>
      <c r="P223" s="108"/>
      <c r="Q223" s="108"/>
      <c r="R223" s="108">
        <f t="shared" si="67"/>
        <v>1960747.23</v>
      </c>
      <c r="S223" s="108">
        <f>+'Приложение №2'!E223-'Приложение №1'!R223</f>
        <v>972570.26266483217</v>
      </c>
      <c r="T223" s="108">
        <v>0</v>
      </c>
      <c r="U223" s="107">
        <f t="shared" si="63"/>
        <v>833.70779123034106</v>
      </c>
      <c r="V223" s="107">
        <f t="shared" si="63"/>
        <v>833.70779123034106</v>
      </c>
      <c r="W223" s="135">
        <v>2023</v>
      </c>
      <c r="X223" s="28" t="e">
        <f>+#REF!-'[1]Приложение №1'!$P560</f>
        <v>#REF!</v>
      </c>
      <c r="Z223" s="30">
        <f t="shared" si="71"/>
        <v>3295862.3513088003</v>
      </c>
      <c r="AA223" s="26">
        <v>0</v>
      </c>
      <c r="AB223" s="26">
        <v>0</v>
      </c>
      <c r="AC223" s="26">
        <v>2870544.4983218047</v>
      </c>
      <c r="AD223" s="26">
        <v>0</v>
      </c>
      <c r="AE223" s="26">
        <v>0</v>
      </c>
      <c r="AF223" s="26"/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6">
        <v>0</v>
      </c>
      <c r="AM223" s="26">
        <v>329586.23513088003</v>
      </c>
      <c r="AN223" s="31">
        <v>32958.623513088001</v>
      </c>
      <c r="AO223" s="32">
        <v>62772.994343027407</v>
      </c>
      <c r="AP223" s="77">
        <f>+N223-'Приложение №2'!E223</f>
        <v>0</v>
      </c>
      <c r="AQ223" s="1">
        <v>1517475.63</v>
      </c>
      <c r="AR223" s="1">
        <f>+(K223*10+L223*20)*12*0.85</f>
        <v>443271.6</v>
      </c>
      <c r="AS223" s="1">
        <f>+(K223*10+L223*20)*12*30</f>
        <v>15644880</v>
      </c>
      <c r="AT223" s="28">
        <f t="shared" si="61"/>
        <v>-14672309.737335168</v>
      </c>
      <c r="AU223" s="28">
        <f>+P223-'[6]Приложение №1'!$P225</f>
        <v>0</v>
      </c>
      <c r="AV223" s="28">
        <f>+Q223-'[6]Приложение №1'!$Q225</f>
        <v>0</v>
      </c>
      <c r="AW223" s="28">
        <f>+R223-'[6]Приложение №1'!$R225</f>
        <v>0</v>
      </c>
      <c r="AX223" s="28">
        <f>+S223-'[6]Приложение №1'!$S225</f>
        <v>0</v>
      </c>
      <c r="AY223" s="28">
        <f>+T223-'[6]Приложение №1'!$T225</f>
        <v>0</v>
      </c>
    </row>
    <row r="224" spans="1:51" x14ac:dyDescent="0.25">
      <c r="A224" s="137">
        <f t="shared" si="65"/>
        <v>206</v>
      </c>
      <c r="B224" s="138">
        <f t="shared" si="66"/>
        <v>18</v>
      </c>
      <c r="C224" s="120" t="s">
        <v>81</v>
      </c>
      <c r="D224" s="120" t="s">
        <v>279</v>
      </c>
      <c r="E224" s="121">
        <v>1990</v>
      </c>
      <c r="F224" s="121">
        <v>2017</v>
      </c>
      <c r="G224" s="121" t="s">
        <v>83</v>
      </c>
      <c r="H224" s="121">
        <v>10</v>
      </c>
      <c r="I224" s="121">
        <v>3</v>
      </c>
      <c r="J224" s="107">
        <v>10664.8</v>
      </c>
      <c r="K224" s="107">
        <v>8965.7000000000007</v>
      </c>
      <c r="L224" s="107">
        <v>241.2</v>
      </c>
      <c r="M224" s="122">
        <v>365</v>
      </c>
      <c r="N224" s="133">
        <f t="shared" si="62"/>
        <v>6651991.1786065921</v>
      </c>
      <c r="O224" s="107"/>
      <c r="P224" s="108"/>
      <c r="Q224" s="108"/>
      <c r="R224" s="108">
        <f>+'Приложение №2'!E224</f>
        <v>6651991.1786065921</v>
      </c>
      <c r="S224" s="108">
        <f>+'Приложение №2'!E224-'Приложение №1'!R224</f>
        <v>0</v>
      </c>
      <c r="T224" s="108">
        <v>4.6566128730773926E-10</v>
      </c>
      <c r="U224" s="107">
        <f t="shared" si="63"/>
        <v>722.50064393081175</v>
      </c>
      <c r="V224" s="107">
        <f t="shared" si="63"/>
        <v>722.50064393081175</v>
      </c>
      <c r="W224" s="135">
        <v>2023</v>
      </c>
      <c r="X224" s="28" t="e">
        <f>+#REF!-'[1]Приложение №1'!$P1170</f>
        <v>#REF!</v>
      </c>
      <c r="Z224" s="30">
        <f t="shared" si="71"/>
        <v>17451465.54755237</v>
      </c>
      <c r="AA224" s="26"/>
      <c r="AB224" s="26"/>
      <c r="AC224" s="26">
        <v>6509638.5673844106</v>
      </c>
      <c r="AD224" s="26">
        <v>4159957.4733218304</v>
      </c>
      <c r="AE224" s="26">
        <v>0</v>
      </c>
      <c r="AF224" s="26"/>
      <c r="AG224" s="26">
        <v>978696.30838074186</v>
      </c>
      <c r="AH224" s="26">
        <v>0</v>
      </c>
      <c r="AI224" s="26">
        <v>0</v>
      </c>
      <c r="AJ224" s="26">
        <v>0</v>
      </c>
      <c r="AK224" s="26">
        <v>0</v>
      </c>
      <c r="AL224" s="26">
        <v>0</v>
      </c>
      <c r="AM224" s="26">
        <v>4391061.0735815065</v>
      </c>
      <c r="AN224" s="31">
        <v>482934.91690454783</v>
      </c>
      <c r="AO224" s="32">
        <v>929177.20797933068</v>
      </c>
      <c r="AP224" s="77">
        <f>+N224-'Приложение №2'!E224</f>
        <v>0</v>
      </c>
      <c r="AQ224" s="28">
        <f>6040448.13-R30</f>
        <v>5511413.1500000004</v>
      </c>
      <c r="AR224" s="1">
        <f>+(K224*13.29+L224*22.52)*12*0.85</f>
        <v>1270776.9653999999</v>
      </c>
      <c r="AS224" s="1">
        <f>+(K224*13.29+L224*22.52)*12*30-11155353.44</f>
        <v>33695598.280000001</v>
      </c>
      <c r="AT224" s="28">
        <f t="shared" si="61"/>
        <v>-33695598.280000001</v>
      </c>
      <c r="AU224" s="28">
        <f>+P224-'[6]Приложение №1'!$P226</f>
        <v>-2375276.4681759998</v>
      </c>
      <c r="AV224" s="28">
        <f>+Q224-'[6]Приложение №1'!$Q226</f>
        <v>0</v>
      </c>
      <c r="AW224" s="28">
        <f>+R224-'[6]Приложение №1'!$R226</f>
        <v>0</v>
      </c>
      <c r="AX224" s="28">
        <f>+S224-'[6]Приложение №1'!$S226</f>
        <v>0</v>
      </c>
      <c r="AY224" s="28">
        <f>+T224-'[6]Приложение №1'!$T226</f>
        <v>0</v>
      </c>
    </row>
    <row r="225" spans="1:51" x14ac:dyDescent="0.25">
      <c r="A225" s="137">
        <f t="shared" si="65"/>
        <v>207</v>
      </c>
      <c r="B225" s="138">
        <f t="shared" si="66"/>
        <v>19</v>
      </c>
      <c r="C225" s="120" t="s">
        <v>81</v>
      </c>
      <c r="D225" s="120" t="s">
        <v>280</v>
      </c>
      <c r="E225" s="121">
        <v>1990</v>
      </c>
      <c r="F225" s="121">
        <v>2017</v>
      </c>
      <c r="G225" s="121" t="s">
        <v>83</v>
      </c>
      <c r="H225" s="121">
        <v>9</v>
      </c>
      <c r="I225" s="121">
        <v>1</v>
      </c>
      <c r="J225" s="107">
        <v>4531.3</v>
      </c>
      <c r="K225" s="107">
        <v>3818.4</v>
      </c>
      <c r="L225" s="107">
        <v>61.2</v>
      </c>
      <c r="M225" s="122">
        <v>144</v>
      </c>
      <c r="N225" s="133">
        <f t="shared" si="62"/>
        <v>2815397.6870522881</v>
      </c>
      <c r="O225" s="107"/>
      <c r="P225" s="108"/>
      <c r="Q225" s="108"/>
      <c r="R225" s="108">
        <f>+AQ225+AR225</f>
        <v>1443415.5630734027</v>
      </c>
      <c r="S225" s="108">
        <f>+'Приложение №2'!E225-'Приложение №1'!R225</f>
        <v>1371982.1239788854</v>
      </c>
      <c r="T225" s="108">
        <v>1.1641532182693481E-10</v>
      </c>
      <c r="U225" s="107">
        <f t="shared" si="63"/>
        <v>725.69277426855558</v>
      </c>
      <c r="V225" s="107">
        <f t="shared" si="63"/>
        <v>725.69277426855558</v>
      </c>
      <c r="W225" s="135">
        <v>2023</v>
      </c>
      <c r="X225" s="28" t="e">
        <f>+#REF!-'[1]Приложение №1'!$P1172</f>
        <v>#REF!</v>
      </c>
      <c r="Z225" s="30">
        <f t="shared" si="71"/>
        <v>27882965.040892042</v>
      </c>
      <c r="AA225" s="26">
        <v>9323379.5626275707</v>
      </c>
      <c r="AB225" s="26">
        <v>3730241.0353664667</v>
      </c>
      <c r="AC225" s="26">
        <v>2755148.176549369</v>
      </c>
      <c r="AD225" s="26">
        <v>1760665.9922058834</v>
      </c>
      <c r="AE225" s="26">
        <v>0</v>
      </c>
      <c r="AF225" s="26"/>
      <c r="AG225" s="26">
        <v>414224.74097732303</v>
      </c>
      <c r="AH225" s="26">
        <v>0</v>
      </c>
      <c r="AI225" s="26">
        <v>0</v>
      </c>
      <c r="AJ225" s="26">
        <v>6482652.3339526588</v>
      </c>
      <c r="AK225" s="26">
        <v>0</v>
      </c>
      <c r="AL225" s="26">
        <v>0</v>
      </c>
      <c r="AM225" s="26">
        <v>2602794.861483254</v>
      </c>
      <c r="AN225" s="31">
        <v>278829.65040892042</v>
      </c>
      <c r="AO225" s="32">
        <v>535028.68732059724</v>
      </c>
      <c r="AP225" s="77">
        <f>+N225-'Приложение №2'!E225</f>
        <v>0</v>
      </c>
      <c r="AQ225" s="28">
        <f>1031818.0268-R31</f>
        <v>911743.01107340283</v>
      </c>
      <c r="AR225" s="1">
        <f>+(K225*13.29+L225*22.52)*12*0.85</f>
        <v>531672.55200000003</v>
      </c>
      <c r="AS225" s="1">
        <f>+(K225*13.29+L225*22.52)*12*30-6069421.82-'[2]Приложение №1'!$S$83</f>
        <v>12442831.953200001</v>
      </c>
      <c r="AT225" s="28">
        <f t="shared" si="61"/>
        <v>-11070849.829221116</v>
      </c>
      <c r="AU225" s="28">
        <f>+P225-'[6]Приложение №1'!$P227</f>
        <v>0</v>
      </c>
      <c r="AV225" s="28">
        <f>+Q225-'[6]Приложение №1'!$Q227</f>
        <v>0</v>
      </c>
      <c r="AW225" s="28">
        <f>+R225-'[6]Приложение №1'!$R227</f>
        <v>0</v>
      </c>
      <c r="AX225" s="28">
        <f>+S225-'[6]Приложение №1'!$S227</f>
        <v>0</v>
      </c>
      <c r="AY225" s="28">
        <f>+T225-'[6]Приложение №1'!$T227</f>
        <v>0</v>
      </c>
    </row>
    <row r="226" spans="1:51" x14ac:dyDescent="0.25">
      <c r="A226" s="137">
        <f t="shared" si="65"/>
        <v>208</v>
      </c>
      <c r="B226" s="138">
        <f t="shared" si="66"/>
        <v>20</v>
      </c>
      <c r="C226" s="120" t="s">
        <v>81</v>
      </c>
      <c r="D226" s="120" t="s">
        <v>302</v>
      </c>
      <c r="E226" s="121">
        <v>1984</v>
      </c>
      <c r="F226" s="121">
        <v>2016</v>
      </c>
      <c r="G226" s="121" t="s">
        <v>83</v>
      </c>
      <c r="H226" s="121">
        <v>5</v>
      </c>
      <c r="I226" s="121">
        <v>3</v>
      </c>
      <c r="J226" s="107">
        <v>5122</v>
      </c>
      <c r="K226" s="107">
        <v>4380.8500000000004</v>
      </c>
      <c r="L226" s="107">
        <v>19</v>
      </c>
      <c r="M226" s="122">
        <v>187</v>
      </c>
      <c r="N226" s="133">
        <f t="shared" si="62"/>
        <v>5085565.8713689661</v>
      </c>
      <c r="O226" s="107"/>
      <c r="P226" s="108">
        <v>2375276.4681759998</v>
      </c>
      <c r="Q226" s="108"/>
      <c r="R226" s="108">
        <f>+AQ226+AR226</f>
        <v>2523266.9500000002</v>
      </c>
      <c r="S226" s="108">
        <f>+'Приложение №2'!E226-'Приложение №1'!P226-'Приложение №1'!Q226-'Приложение №1'!R226</f>
        <v>187022.45319296606</v>
      </c>
      <c r="T226" s="108">
        <f>+'Приложение №2'!E226-'Приложение №1'!P226-'Приложение №1'!Q226-'Приложение №1'!R226-'Приложение №1'!S226</f>
        <v>0</v>
      </c>
      <c r="U226" s="107">
        <f t="shared" si="63"/>
        <v>1155.8498292825814</v>
      </c>
      <c r="V226" s="107">
        <f t="shared" si="63"/>
        <v>1155.8498292825814</v>
      </c>
      <c r="W226" s="135">
        <v>2023</v>
      </c>
      <c r="X226" s="28" t="e">
        <f>+#REF!-'[1]Приложение №1'!$P1115</f>
        <v>#REF!</v>
      </c>
      <c r="Z226" s="30">
        <f t="shared" si="71"/>
        <v>20776720.738175999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/>
      <c r="AG226" s="26">
        <v>0</v>
      </c>
      <c r="AH226" s="26">
        <v>0</v>
      </c>
      <c r="AI226" s="26">
        <v>0</v>
      </c>
      <c r="AJ226" s="26">
        <v>0</v>
      </c>
      <c r="AK226" s="26">
        <v>20147945.946807034</v>
      </c>
      <c r="AL226" s="26">
        <v>0</v>
      </c>
      <c r="AM226" s="26">
        <v>164180.01999999999</v>
      </c>
      <c r="AN226" s="26">
        <v>24000</v>
      </c>
      <c r="AO226" s="32">
        <v>440594.77136896638</v>
      </c>
      <c r="AP226" s="77">
        <f>+N226-'Приложение №2'!E226</f>
        <v>0</v>
      </c>
      <c r="AQ226" s="1">
        <v>2072544.25</v>
      </c>
      <c r="AR226" s="1">
        <f>+(K226*10+L226*20)*12*0.85</f>
        <v>450722.7</v>
      </c>
      <c r="AS226" s="1">
        <f>+(K226*10+L226*20)*12*30</f>
        <v>15907860</v>
      </c>
      <c r="AT226" s="28">
        <f t="shared" si="61"/>
        <v>-15720837.546807034</v>
      </c>
      <c r="AU226" s="28">
        <f>+P226-'[6]Приложение №1'!$P228</f>
        <v>0</v>
      </c>
      <c r="AV226" s="28">
        <f>+Q226-'[6]Приложение №1'!$Q228</f>
        <v>0</v>
      </c>
      <c r="AW226" s="28">
        <f>+R226-'[6]Приложение №1'!$R228</f>
        <v>0</v>
      </c>
      <c r="AX226" s="28">
        <f>+S226-'[6]Приложение №1'!$S228</f>
        <v>0</v>
      </c>
      <c r="AY226" s="28">
        <f>+T226-'[6]Приложение №1'!$T228</f>
        <v>0</v>
      </c>
    </row>
    <row r="227" spans="1:51" x14ac:dyDescent="0.25">
      <c r="A227" s="137">
        <f t="shared" si="65"/>
        <v>209</v>
      </c>
      <c r="B227" s="138">
        <f t="shared" si="66"/>
        <v>21</v>
      </c>
      <c r="C227" s="120" t="s">
        <v>81</v>
      </c>
      <c r="D227" s="120" t="s">
        <v>303</v>
      </c>
      <c r="E227" s="121">
        <v>1984</v>
      </c>
      <c r="F227" s="121">
        <v>2017</v>
      </c>
      <c r="G227" s="121" t="s">
        <v>83</v>
      </c>
      <c r="H227" s="121">
        <v>5</v>
      </c>
      <c r="I227" s="121">
        <v>5</v>
      </c>
      <c r="J227" s="107">
        <v>5852.2</v>
      </c>
      <c r="K227" s="107">
        <v>4921.1000000000004</v>
      </c>
      <c r="L227" s="107">
        <v>51.7</v>
      </c>
      <c r="M227" s="122">
        <v>171</v>
      </c>
      <c r="N227" s="133">
        <f t="shared" si="62"/>
        <v>3925263.292793856</v>
      </c>
      <c r="O227" s="107"/>
      <c r="P227" s="108"/>
      <c r="Q227" s="108"/>
      <c r="R227" s="108">
        <f>+AQ227+AR227</f>
        <v>1586967.3900000001</v>
      </c>
      <c r="S227" s="108">
        <f>+'Приложение №2'!E227-'Приложение №1'!R227</f>
        <v>2338295.9027938559</v>
      </c>
      <c r="T227" s="108">
        <v>0</v>
      </c>
      <c r="U227" s="107">
        <f t="shared" ref="U227:V248" si="72">$N227/($K227+$L227)</f>
        <v>789.34670463196903</v>
      </c>
      <c r="V227" s="107">
        <f t="shared" si="72"/>
        <v>789.34670463196903</v>
      </c>
      <c r="W227" s="135">
        <v>2023</v>
      </c>
      <c r="X227" s="28" t="e">
        <f>+#REF!-'[1]Приложение №1'!$P566</f>
        <v>#REF!</v>
      </c>
      <c r="Z227" s="30">
        <f t="shared" ref="Z227:Z248" si="73">SUM(AA227:AO227)</f>
        <v>4410408.1941504003</v>
      </c>
      <c r="AA227" s="26">
        <v>0</v>
      </c>
      <c r="AB227" s="26">
        <v>0</v>
      </c>
      <c r="AC227" s="26">
        <v>3841262.6583280675</v>
      </c>
      <c r="AD227" s="26">
        <v>0</v>
      </c>
      <c r="AE227" s="26">
        <v>0</v>
      </c>
      <c r="AF227" s="26"/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6">
        <v>0</v>
      </c>
      <c r="AM227" s="26">
        <v>441040.81941504008</v>
      </c>
      <c r="AN227" s="31">
        <v>44104.081941504002</v>
      </c>
      <c r="AO227" s="32">
        <v>84000.634465788535</v>
      </c>
      <c r="AP227" s="77">
        <f>+N227-'Приложение №2'!E227</f>
        <v>0</v>
      </c>
      <c r="AQ227" s="1">
        <f>2251183.06-1176714.67</f>
        <v>1074468.3900000001</v>
      </c>
      <c r="AR227" s="1">
        <f>+(K227*10+L227*20)*12*0.85</f>
        <v>512499</v>
      </c>
      <c r="AS227" s="1">
        <f>+(K227*10+L227*20)*12*30</f>
        <v>18088200</v>
      </c>
      <c r="AT227" s="28">
        <f t="shared" si="61"/>
        <v>-15749904.097206144</v>
      </c>
      <c r="AU227" s="28">
        <f>+P227-'[6]Приложение №1'!$P229</f>
        <v>0</v>
      </c>
      <c r="AV227" s="28">
        <f>+Q227-'[6]Приложение №1'!$Q229</f>
        <v>0</v>
      </c>
      <c r="AW227" s="28">
        <f>+R227-'[6]Приложение №1'!$R229</f>
        <v>0</v>
      </c>
      <c r="AX227" s="28">
        <f>+S227-'[6]Приложение №1'!$S229</f>
        <v>0</v>
      </c>
      <c r="AY227" s="28">
        <f>+T227-'[6]Приложение №1'!$T229</f>
        <v>0</v>
      </c>
    </row>
    <row r="228" spans="1:51" x14ac:dyDescent="0.25">
      <c r="A228" s="137">
        <f t="shared" si="65"/>
        <v>210</v>
      </c>
      <c r="B228" s="138">
        <f t="shared" si="66"/>
        <v>22</v>
      </c>
      <c r="C228" s="120" t="s">
        <v>81</v>
      </c>
      <c r="D228" s="120" t="s">
        <v>304</v>
      </c>
      <c r="E228" s="121">
        <v>1985</v>
      </c>
      <c r="F228" s="121">
        <v>2017</v>
      </c>
      <c r="G228" s="121" t="s">
        <v>83</v>
      </c>
      <c r="H228" s="121">
        <v>9</v>
      </c>
      <c r="I228" s="121">
        <v>5</v>
      </c>
      <c r="J228" s="107">
        <v>13256</v>
      </c>
      <c r="K228" s="107">
        <v>10326.299999999999</v>
      </c>
      <c r="L228" s="107">
        <v>160.4</v>
      </c>
      <c r="M228" s="122">
        <v>409</v>
      </c>
      <c r="N228" s="133">
        <f t="shared" si="62"/>
        <v>34187098.075670823</v>
      </c>
      <c r="O228" s="107"/>
      <c r="P228" s="108"/>
      <c r="Q228" s="108"/>
      <c r="R228" s="108">
        <f>+AQ228+AR228</f>
        <v>7813607.9469999997</v>
      </c>
      <c r="S228" s="108">
        <f>+'Приложение №2'!E228-'Приложение №1'!R228</f>
        <v>26373490.128670823</v>
      </c>
      <c r="T228" s="108">
        <v>9.3132257461547852E-10</v>
      </c>
      <c r="U228" s="107">
        <f t="shared" si="72"/>
        <v>3260.0434908666052</v>
      </c>
      <c r="V228" s="107">
        <f t="shared" si="72"/>
        <v>3260.0434908666052</v>
      </c>
      <c r="W228" s="135">
        <v>2023</v>
      </c>
      <c r="X228" s="28" t="e">
        <f>+#REF!-'[1]Приложение №1'!$P567</f>
        <v>#REF!</v>
      </c>
      <c r="Z228" s="30">
        <f t="shared" si="73"/>
        <v>37665450.361499503</v>
      </c>
      <c r="AA228" s="26">
        <v>24967938.10343796</v>
      </c>
      <c r="AB228" s="26">
        <v>0</v>
      </c>
      <c r="AC228" s="26">
        <v>7378265.4321645685</v>
      </c>
      <c r="AD228" s="26">
        <v>0</v>
      </c>
      <c r="AE228" s="26">
        <v>0</v>
      </c>
      <c r="AF228" s="26"/>
      <c r="AG228" s="26">
        <v>1109290.6412489424</v>
      </c>
      <c r="AH228" s="26">
        <v>0</v>
      </c>
      <c r="AI228" s="26">
        <v>0</v>
      </c>
      <c r="AJ228" s="26">
        <v>0</v>
      </c>
      <c r="AK228" s="26">
        <v>0</v>
      </c>
      <c r="AL228" s="26">
        <v>0</v>
      </c>
      <c r="AM228" s="26">
        <v>3101697.7822136818</v>
      </c>
      <c r="AN228" s="31">
        <v>376654.50361499505</v>
      </c>
      <c r="AO228" s="32">
        <v>731603.89881935576</v>
      </c>
      <c r="AP228" s="77">
        <f>+N228-'Приложение №2'!E228</f>
        <v>0</v>
      </c>
      <c r="AQ228" s="1">
        <v>6376950.8499999996</v>
      </c>
      <c r="AR228" s="1">
        <f>+(K228*13.29+L228*22.52)*12*0.85</f>
        <v>1436657.0969999998</v>
      </c>
      <c r="AS228" s="1">
        <f>+(K228*13.29+L228*22.52)*12*30</f>
        <v>50705544.599999994</v>
      </c>
      <c r="AT228" s="28">
        <f t="shared" si="61"/>
        <v>-24332054.471329171</v>
      </c>
      <c r="AU228" s="28">
        <f>+P228-'[6]Приложение №1'!$P230</f>
        <v>0</v>
      </c>
      <c r="AV228" s="28">
        <f>+Q228-'[6]Приложение №1'!$Q230</f>
        <v>0</v>
      </c>
      <c r="AW228" s="28">
        <f>+R228-'[6]Приложение №1'!$R230</f>
        <v>0</v>
      </c>
      <c r="AX228" s="28">
        <f>+S228-'[6]Приложение №1'!$S230</f>
        <v>0</v>
      </c>
      <c r="AY228" s="28">
        <f>+T228-'[6]Приложение №1'!$T230</f>
        <v>0</v>
      </c>
    </row>
    <row r="229" spans="1:51" x14ac:dyDescent="0.25">
      <c r="A229" s="137">
        <f t="shared" si="65"/>
        <v>211</v>
      </c>
      <c r="B229" s="138">
        <f t="shared" si="66"/>
        <v>23</v>
      </c>
      <c r="C229" s="120" t="s">
        <v>81</v>
      </c>
      <c r="D229" s="120" t="s">
        <v>283</v>
      </c>
      <c r="E229" s="121">
        <v>1981</v>
      </c>
      <c r="F229" s="121">
        <v>2016</v>
      </c>
      <c r="G229" s="121" t="s">
        <v>43</v>
      </c>
      <c r="H229" s="121">
        <v>4</v>
      </c>
      <c r="I229" s="121">
        <v>3</v>
      </c>
      <c r="J229" s="107">
        <v>3910.2</v>
      </c>
      <c r="K229" s="107">
        <v>2017.9</v>
      </c>
      <c r="L229" s="107">
        <v>997.9</v>
      </c>
      <c r="M229" s="122">
        <v>113</v>
      </c>
      <c r="N229" s="133">
        <f t="shared" si="62"/>
        <v>4356885.5964561403</v>
      </c>
      <c r="O229" s="107"/>
      <c r="P229" s="108"/>
      <c r="Q229" s="108"/>
      <c r="R229" s="108">
        <f>+AQ229+AR229-557135.78</f>
        <v>806677.09999999986</v>
      </c>
      <c r="S229" s="108">
        <f>+'Приложение №2'!E229-'Приложение №1'!R229</f>
        <v>3550208.4964561407</v>
      </c>
      <c r="T229" s="108"/>
      <c r="U229" s="107">
        <f t="shared" si="72"/>
        <v>1444.6865164984879</v>
      </c>
      <c r="V229" s="107">
        <f t="shared" si="72"/>
        <v>1444.6865164984879</v>
      </c>
      <c r="W229" s="135">
        <v>2023</v>
      </c>
      <c r="X229" s="28" t="e">
        <f>+#REF!-'[1]Приложение №1'!$P1501</f>
        <v>#REF!</v>
      </c>
      <c r="Z229" s="30">
        <f t="shared" si="73"/>
        <v>33549604.466355495</v>
      </c>
      <c r="AA229" s="26">
        <v>9163753.0558547936</v>
      </c>
      <c r="AB229" s="26">
        <v>4716823.2</v>
      </c>
      <c r="AC229" s="26">
        <v>2695930.7316036122</v>
      </c>
      <c r="AD229" s="26">
        <v>0</v>
      </c>
      <c r="AE229" s="26">
        <v>0</v>
      </c>
      <c r="AF229" s="26"/>
      <c r="AG229" s="26">
        <v>295975.88879684091</v>
      </c>
      <c r="AH229" s="26">
        <v>0</v>
      </c>
      <c r="AI229" s="26">
        <v>13238455.132672109</v>
      </c>
      <c r="AJ229" s="26">
        <v>0</v>
      </c>
      <c r="AK229" s="26">
        <v>0</v>
      </c>
      <c r="AL229" s="26">
        <v>0</v>
      </c>
      <c r="AM229" s="26">
        <v>2552926.0485136751</v>
      </c>
      <c r="AN229" s="31">
        <v>295470.26754077495</v>
      </c>
      <c r="AO229" s="32">
        <v>590270.14137369313</v>
      </c>
      <c r="AP229" s="77">
        <f>+N229-'Приложение №2'!E229</f>
        <v>0</v>
      </c>
      <c r="AQ229" s="1">
        <v>954415.48</v>
      </c>
      <c r="AR229" s="1">
        <f>+(K229*10+L229*20)*12*0.85</f>
        <v>409397.39999999997</v>
      </c>
      <c r="AS229" s="1">
        <f>+(K229*10+L229*20)*12*30</f>
        <v>14449320</v>
      </c>
      <c r="AT229" s="28">
        <f t="shared" si="61"/>
        <v>-10899111.503543859</v>
      </c>
      <c r="AU229" s="28">
        <f>+P229-'[6]Приложение №1'!$P231</f>
        <v>0</v>
      </c>
      <c r="AV229" s="28">
        <f>+Q229-'[6]Приложение №1'!$Q231</f>
        <v>0</v>
      </c>
      <c r="AW229" s="28">
        <f>+R229-'[6]Приложение №1'!$R231</f>
        <v>0</v>
      </c>
      <c r="AX229" s="28">
        <f>+S229-'[6]Приложение №1'!$S231</f>
        <v>0</v>
      </c>
      <c r="AY229" s="28">
        <f>+T229-'[6]Приложение №1'!$T231</f>
        <v>0</v>
      </c>
    </row>
    <row r="230" spans="1:51" x14ac:dyDescent="0.25">
      <c r="A230" s="137">
        <f t="shared" si="65"/>
        <v>212</v>
      </c>
      <c r="B230" s="138">
        <f t="shared" si="66"/>
        <v>24</v>
      </c>
      <c r="C230" s="120" t="s">
        <v>81</v>
      </c>
      <c r="D230" s="120" t="s">
        <v>284</v>
      </c>
      <c r="E230" s="121">
        <v>1990</v>
      </c>
      <c r="F230" s="121">
        <v>2017</v>
      </c>
      <c r="G230" s="121" t="s">
        <v>83</v>
      </c>
      <c r="H230" s="121">
        <v>10</v>
      </c>
      <c r="I230" s="121">
        <v>3</v>
      </c>
      <c r="J230" s="107">
        <v>9593.2999999999993</v>
      </c>
      <c r="K230" s="107">
        <v>8146.5</v>
      </c>
      <c r="L230" s="107">
        <v>251.7</v>
      </c>
      <c r="M230" s="122">
        <v>290</v>
      </c>
      <c r="N230" s="133">
        <f t="shared" si="62"/>
        <v>5964947.0233067526</v>
      </c>
      <c r="O230" s="107"/>
      <c r="P230" s="108"/>
      <c r="Q230" s="108"/>
      <c r="R230" s="108">
        <f>+AQ230+AR230</f>
        <v>5617381.3413607851</v>
      </c>
      <c r="S230" s="108">
        <f>+'Приложение №2'!E230-'Приложение №1'!R230</f>
        <v>347565.68194596749</v>
      </c>
      <c r="T230" s="108">
        <v>0</v>
      </c>
      <c r="U230" s="107">
        <f t="shared" si="72"/>
        <v>710.26494049995858</v>
      </c>
      <c r="V230" s="107">
        <f t="shared" si="72"/>
        <v>710.26494049995858</v>
      </c>
      <c r="W230" s="135">
        <v>2023</v>
      </c>
      <c r="X230" s="28" t="e">
        <f>+#REF!-'[1]Приложение №1'!$P1194</f>
        <v>#REF!</v>
      </c>
      <c r="Z230" s="30">
        <f t="shared" si="73"/>
        <v>59075280.940424494</v>
      </c>
      <c r="AA230" s="26">
        <v>19753324.876629226</v>
      </c>
      <c r="AB230" s="26">
        <v>7903213.9091590643</v>
      </c>
      <c r="AC230" s="26">
        <v>5837297.1570079876</v>
      </c>
      <c r="AD230" s="26">
        <v>3730300.4891794757</v>
      </c>
      <c r="AE230" s="26">
        <v>0</v>
      </c>
      <c r="AF230" s="26"/>
      <c r="AG230" s="26">
        <v>877612.65381291229</v>
      </c>
      <c r="AH230" s="26">
        <v>0</v>
      </c>
      <c r="AI230" s="26">
        <v>0</v>
      </c>
      <c r="AJ230" s="26">
        <v>13734712.477877133</v>
      </c>
      <c r="AK230" s="26">
        <v>0</v>
      </c>
      <c r="AL230" s="26">
        <v>0</v>
      </c>
      <c r="AM230" s="26">
        <v>5514508.1395367021</v>
      </c>
      <c r="AN230" s="31">
        <v>590752.809404245</v>
      </c>
      <c r="AO230" s="32">
        <v>1133558.4278177479</v>
      </c>
      <c r="AP230" s="77">
        <f>+N230-'Приложение №2'!E230</f>
        <v>0</v>
      </c>
      <c r="AQ230" s="28">
        <f>5009993.34-R35</f>
        <v>4455241.5975607848</v>
      </c>
      <c r="AR230" s="1">
        <f t="shared" ref="AR230:AR238" si="74">+(K230*13.29+L230*22.52)*12*0.85</f>
        <v>1162139.7437999998</v>
      </c>
      <c r="AS230" s="1">
        <f>+(K230*13.29+L230*22.52)*12*30-S35</f>
        <v>34517188.239999995</v>
      </c>
      <c r="AT230" s="28">
        <f t="shared" si="61"/>
        <v>-34169622.55805403</v>
      </c>
      <c r="AU230" s="28">
        <f>+P230-'[6]Приложение №1'!$P232</f>
        <v>0</v>
      </c>
      <c r="AV230" s="28">
        <f>+Q230-'[6]Приложение №1'!$Q232</f>
        <v>0</v>
      </c>
      <c r="AW230" s="28">
        <f>+R230-'[6]Приложение №1'!$R232</f>
        <v>0</v>
      </c>
      <c r="AX230" s="28">
        <f>+S230-'[6]Приложение №1'!$S232</f>
        <v>0</v>
      </c>
      <c r="AY230" s="28">
        <f>+T230-'[6]Приложение №1'!$T232</f>
        <v>0</v>
      </c>
    </row>
    <row r="231" spans="1:51" x14ac:dyDescent="0.25">
      <c r="A231" s="137">
        <f t="shared" si="65"/>
        <v>213</v>
      </c>
      <c r="B231" s="138">
        <f t="shared" si="66"/>
        <v>25</v>
      </c>
      <c r="C231" s="120" t="s">
        <v>81</v>
      </c>
      <c r="D231" s="120" t="s">
        <v>285</v>
      </c>
      <c r="E231" s="121">
        <v>1990</v>
      </c>
      <c r="F231" s="121">
        <v>2017</v>
      </c>
      <c r="G231" s="121" t="s">
        <v>83</v>
      </c>
      <c r="H231" s="121">
        <v>9</v>
      </c>
      <c r="I231" s="121">
        <v>2</v>
      </c>
      <c r="J231" s="107">
        <v>9044.7000000000007</v>
      </c>
      <c r="K231" s="107">
        <v>7731.7</v>
      </c>
      <c r="L231" s="107">
        <v>0</v>
      </c>
      <c r="M231" s="122">
        <v>294</v>
      </c>
      <c r="N231" s="133">
        <f t="shared" si="62"/>
        <v>4916517.9743421944</v>
      </c>
      <c r="O231" s="107"/>
      <c r="P231" s="108"/>
      <c r="Q231" s="108"/>
      <c r="R231" s="108">
        <f>+'Приложение №2'!E231</f>
        <v>4916517.9743421944</v>
      </c>
      <c r="S231" s="108">
        <f>+'Приложение №2'!E231-'Приложение №1'!R231</f>
        <v>0</v>
      </c>
      <c r="T231" s="108">
        <f>+'Приложение №2'!E231-'Приложение №1'!P231-'Приложение №1'!Q231-'Приложение №1'!R231-'Приложение №1'!S231</f>
        <v>0</v>
      </c>
      <c r="U231" s="107">
        <f t="shared" si="72"/>
        <v>635.89093916502122</v>
      </c>
      <c r="V231" s="107">
        <f t="shared" si="72"/>
        <v>635.89093916502122</v>
      </c>
      <c r="W231" s="135">
        <v>2023</v>
      </c>
      <c r="X231" s="28" t="e">
        <f>+#REF!-'[1]Приложение №1'!$P1107</f>
        <v>#REF!</v>
      </c>
      <c r="Z231" s="30">
        <f t="shared" si="73"/>
        <v>55666319.910854891</v>
      </c>
      <c r="AA231" s="26">
        <v>18613451.927455012</v>
      </c>
      <c r="AB231" s="26">
        <v>7447156.0149639342</v>
      </c>
      <c r="AC231" s="26">
        <v>5500453.7563591562</v>
      </c>
      <c r="AD231" s="26">
        <v>3515042.1138698198</v>
      </c>
      <c r="AE231" s="26">
        <v>0</v>
      </c>
      <c r="AF231" s="26"/>
      <c r="AG231" s="26">
        <v>826969.68964449025</v>
      </c>
      <c r="AH231" s="26">
        <v>0</v>
      </c>
      <c r="AI231" s="26">
        <v>0</v>
      </c>
      <c r="AJ231" s="26">
        <v>12942145.792724269</v>
      </c>
      <c r="AK231" s="26">
        <v>0</v>
      </c>
      <c r="AL231" s="26">
        <v>0</v>
      </c>
      <c r="AM231" s="26">
        <v>5196291.3990376946</v>
      </c>
      <c r="AN231" s="31">
        <v>556663.19910854893</v>
      </c>
      <c r="AO231" s="32">
        <v>1068146.0176919652</v>
      </c>
      <c r="AP231" s="77">
        <f>+N231-'Приложение №2'!E231</f>
        <v>0</v>
      </c>
      <c r="AQ231" s="1">
        <v>4614966.51</v>
      </c>
      <c r="AR231" s="1">
        <f t="shared" si="74"/>
        <v>1048093.7885999999</v>
      </c>
      <c r="AS231" s="1">
        <f>+(K231*13.29+L231*22.52)*12*30</f>
        <v>36991545.479999997</v>
      </c>
      <c r="AT231" s="28">
        <f t="shared" si="61"/>
        <v>-36991545.479999997</v>
      </c>
      <c r="AU231" s="28">
        <f>+P231-'[6]Приложение №1'!$P233</f>
        <v>0</v>
      </c>
      <c r="AV231" s="28">
        <f>+Q231-'[6]Приложение №1'!$Q233</f>
        <v>0</v>
      </c>
      <c r="AW231" s="28">
        <f>+R231-'[6]Приложение №1'!$R233</f>
        <v>0</v>
      </c>
      <c r="AX231" s="28">
        <f>+S231-'[6]Приложение №1'!$S233</f>
        <v>0</v>
      </c>
      <c r="AY231" s="28">
        <f>+T231-'[6]Приложение №1'!$T233</f>
        <v>0</v>
      </c>
    </row>
    <row r="232" spans="1:51" x14ac:dyDescent="0.25">
      <c r="A232" s="137">
        <f t="shared" si="65"/>
        <v>214</v>
      </c>
      <c r="B232" s="138">
        <f t="shared" si="66"/>
        <v>26</v>
      </c>
      <c r="C232" s="120" t="s">
        <v>81</v>
      </c>
      <c r="D232" s="120" t="s">
        <v>286</v>
      </c>
      <c r="E232" s="121">
        <v>1990</v>
      </c>
      <c r="F232" s="121">
        <v>2017</v>
      </c>
      <c r="G232" s="121" t="s">
        <v>83</v>
      </c>
      <c r="H232" s="121">
        <v>9</v>
      </c>
      <c r="I232" s="121">
        <v>1</v>
      </c>
      <c r="J232" s="107">
        <v>4527.8</v>
      </c>
      <c r="K232" s="107">
        <v>3876.4</v>
      </c>
      <c r="L232" s="107">
        <v>0</v>
      </c>
      <c r="M232" s="122">
        <v>153</v>
      </c>
      <c r="N232" s="123">
        <f t="shared" si="62"/>
        <v>1476035.4285397425</v>
      </c>
      <c r="O232" s="107"/>
      <c r="P232" s="108"/>
      <c r="Q232" s="108"/>
      <c r="R232" s="108"/>
      <c r="S232" s="108">
        <f>+'Приложение №2'!E232-'Приложение №1'!R232-P232</f>
        <v>1476035.4285397425</v>
      </c>
      <c r="T232" s="107">
        <f>+'Приложение №2'!E232-'Приложение №1'!P232-'Приложение №1'!Q232-'Приложение №1'!R232-'Приложение №1'!S232</f>
        <v>0</v>
      </c>
      <c r="U232" s="108">
        <f t="shared" si="72"/>
        <v>380.77479840567082</v>
      </c>
      <c r="V232" s="108">
        <f t="shared" si="72"/>
        <v>380.77479840567082</v>
      </c>
      <c r="W232" s="135">
        <v>2023</v>
      </c>
      <c r="X232" s="28" t="e">
        <f>+#REF!-'[1]Приложение №1'!$P1147</f>
        <v>#REF!</v>
      </c>
      <c r="Z232" s="30">
        <f t="shared" ref="Z232" si="75">SUM(AA232:AO232)</f>
        <v>27786937.969636556</v>
      </c>
      <c r="AA232" s="26">
        <v>9291270.4654677343</v>
      </c>
      <c r="AB232" s="26">
        <v>3717394.3341215332</v>
      </c>
      <c r="AC232" s="26">
        <v>2745659.6300522191</v>
      </c>
      <c r="AD232" s="26">
        <v>1754602.3759999776</v>
      </c>
      <c r="AE232" s="26">
        <v>0</v>
      </c>
      <c r="AF232" s="26"/>
      <c r="AG232" s="26">
        <v>412798.17860638152</v>
      </c>
      <c r="AH232" s="26">
        <v>0</v>
      </c>
      <c r="AI232" s="26">
        <v>0</v>
      </c>
      <c r="AJ232" s="26">
        <v>6460326.5118356757</v>
      </c>
      <c r="AK232" s="26">
        <v>0</v>
      </c>
      <c r="AL232" s="26">
        <v>0</v>
      </c>
      <c r="AM232" s="26">
        <v>2593831.0096382117</v>
      </c>
      <c r="AN232" s="31">
        <v>277869.37969636562</v>
      </c>
      <c r="AO232" s="32">
        <v>533186.08421846246</v>
      </c>
      <c r="AP232" s="77">
        <f>+N232-'Приложение №2'!E232</f>
        <v>0</v>
      </c>
      <c r="AQ232" s="28">
        <f>2413836.61-R37</f>
        <v>953855.35578153655</v>
      </c>
      <c r="AR232" s="1">
        <f t="shared" si="74"/>
        <v>525477.03119999997</v>
      </c>
      <c r="AS232" s="1">
        <f>+(K232*13.29+L232*22.52)*12*30-S37</f>
        <v>14820037.98</v>
      </c>
      <c r="AT232" s="28">
        <f t="shared" si="61"/>
        <v>-13344002.551460259</v>
      </c>
    </row>
    <row r="233" spans="1:51" x14ac:dyDescent="0.25">
      <c r="A233" s="137">
        <f t="shared" si="65"/>
        <v>215</v>
      </c>
      <c r="B233" s="138">
        <f t="shared" si="66"/>
        <v>27</v>
      </c>
      <c r="C233" s="120" t="s">
        <v>81</v>
      </c>
      <c r="D233" s="120" t="s">
        <v>288</v>
      </c>
      <c r="E233" s="121">
        <v>1990</v>
      </c>
      <c r="F233" s="121">
        <v>2017</v>
      </c>
      <c r="G233" s="121" t="s">
        <v>83</v>
      </c>
      <c r="H233" s="121">
        <v>10</v>
      </c>
      <c r="I233" s="121">
        <v>1</v>
      </c>
      <c r="J233" s="107">
        <v>3562.9</v>
      </c>
      <c r="K233" s="107">
        <v>3045.6</v>
      </c>
      <c r="L233" s="107">
        <v>0</v>
      </c>
      <c r="M233" s="122">
        <v>121</v>
      </c>
      <c r="N233" s="133">
        <f t="shared" si="62"/>
        <v>2204474.695667712</v>
      </c>
      <c r="O233" s="107"/>
      <c r="P233" s="108"/>
      <c r="Q233" s="108"/>
      <c r="R233" s="108">
        <f>+AQ233+AR233</f>
        <v>111696.62217059778</v>
      </c>
      <c r="S233" s="108">
        <f>+'Приложение №2'!E233-'Приложение №1'!R233</f>
        <v>2092778.0734971142</v>
      </c>
      <c r="T233" s="108">
        <v>0</v>
      </c>
      <c r="U233" s="107">
        <f t="shared" si="72"/>
        <v>723.82279211574473</v>
      </c>
      <c r="V233" s="107">
        <f t="shared" si="72"/>
        <v>723.82279211574473</v>
      </c>
      <c r="W233" s="135">
        <v>2023</v>
      </c>
      <c r="X233" s="28" t="e">
        <f>+#REF!-'[1]Приложение №1'!$P1198</f>
        <v>#REF!</v>
      </c>
      <c r="Z233" s="30">
        <f t="shared" si="73"/>
        <v>21832542.931861956</v>
      </c>
      <c r="AA233" s="26">
        <v>7300266.8214297863</v>
      </c>
      <c r="AB233" s="26">
        <v>2920802.9860308608</v>
      </c>
      <c r="AC233" s="26">
        <v>2157298.9371804232</v>
      </c>
      <c r="AD233" s="26">
        <v>1378612.9203666104</v>
      </c>
      <c r="AE233" s="26">
        <v>0</v>
      </c>
      <c r="AF233" s="26"/>
      <c r="AG233" s="26">
        <v>324340.66562016815</v>
      </c>
      <c r="AH233" s="26">
        <v>0</v>
      </c>
      <c r="AI233" s="26">
        <v>0</v>
      </c>
      <c r="AJ233" s="26">
        <v>5075958.9299699729</v>
      </c>
      <c r="AK233" s="26">
        <v>0</v>
      </c>
      <c r="AL233" s="26">
        <v>0</v>
      </c>
      <c r="AM233" s="26">
        <v>2038005.3008288266</v>
      </c>
      <c r="AN233" s="31">
        <v>218325.4293186196</v>
      </c>
      <c r="AO233" s="32">
        <v>418930.94111669064</v>
      </c>
      <c r="AP233" s="77">
        <f>+N233-'Приложение №2'!E233</f>
        <v>0</v>
      </c>
      <c r="AQ233" s="28">
        <f>1845490.3-R39</f>
        <v>-301158.82262940216</v>
      </c>
      <c r="AR233" s="1">
        <f t="shared" si="74"/>
        <v>412855.44479999994</v>
      </c>
      <c r="AS233" s="1">
        <f>+(K233*13.29+L233*22.52)*12*30-S39</f>
        <v>10152121.529999997</v>
      </c>
      <c r="AT233" s="28">
        <f t="shared" si="61"/>
        <v>-8059343.4565028828</v>
      </c>
      <c r="AU233" s="28">
        <f>+P233-'[6]Приложение №1'!$P234</f>
        <v>0</v>
      </c>
      <c r="AV233" s="28">
        <f>+Q233-'[6]Приложение №1'!$Q234</f>
        <v>0</v>
      </c>
      <c r="AW233" s="28">
        <f>+R233-'[6]Приложение №1'!$R234</f>
        <v>0</v>
      </c>
      <c r="AX233" s="28">
        <f>+S233-'[6]Приложение №1'!$S234</f>
        <v>0</v>
      </c>
      <c r="AY233" s="28">
        <f>+T233-'[6]Приложение №1'!$T234</f>
        <v>0</v>
      </c>
    </row>
    <row r="234" spans="1:51" x14ac:dyDescent="0.25">
      <c r="A234" s="137">
        <f t="shared" si="65"/>
        <v>216</v>
      </c>
      <c r="B234" s="138">
        <f t="shared" si="66"/>
        <v>28</v>
      </c>
      <c r="C234" s="120" t="s">
        <v>81</v>
      </c>
      <c r="D234" s="120" t="s">
        <v>289</v>
      </c>
      <c r="E234" s="121">
        <v>1990</v>
      </c>
      <c r="F234" s="121">
        <v>2017</v>
      </c>
      <c r="G234" s="121" t="s">
        <v>83</v>
      </c>
      <c r="H234" s="121">
        <v>9</v>
      </c>
      <c r="I234" s="121">
        <v>1</v>
      </c>
      <c r="J234" s="107">
        <v>3197.5</v>
      </c>
      <c r="K234" s="107">
        <v>2621.1</v>
      </c>
      <c r="L234" s="107">
        <v>132.4</v>
      </c>
      <c r="M234" s="122">
        <v>94</v>
      </c>
      <c r="N234" s="133">
        <f t="shared" si="62"/>
        <v>1338332.7178491487</v>
      </c>
      <c r="O234" s="107"/>
      <c r="P234" s="108"/>
      <c r="Q234" s="108"/>
      <c r="R234" s="108">
        <f>+'Приложение №2'!E234</f>
        <v>1338332.7178491487</v>
      </c>
      <c r="S234" s="108">
        <f>+'Приложение №2'!E234-'Приложение №1'!R234</f>
        <v>0</v>
      </c>
      <c r="T234" s="108">
        <f>+'Приложение №2'!E234-'Приложение №1'!P234-'Приложение №1'!Q234-'Приложение №1'!R234-'Приложение №1'!S234</f>
        <v>0</v>
      </c>
      <c r="U234" s="107">
        <f t="shared" si="72"/>
        <v>486.04783651685079</v>
      </c>
      <c r="V234" s="107">
        <f t="shared" si="72"/>
        <v>486.04783651685079</v>
      </c>
      <c r="W234" s="135">
        <v>2023</v>
      </c>
      <c r="X234" s="28" t="e">
        <f>+#REF!-'[1]Приложение №1'!$P1109</f>
        <v>#REF!</v>
      </c>
      <c r="Z234" s="30">
        <f t="shared" si="73"/>
        <v>19626786.772724856</v>
      </c>
      <c r="AA234" s="26">
        <v>6562716.0672657713</v>
      </c>
      <c r="AB234" s="26">
        <v>2625712.3410166483</v>
      </c>
      <c r="AC234" s="26">
        <v>1939345.6079399141</v>
      </c>
      <c r="AD234" s="26">
        <v>1239330.7510996102</v>
      </c>
      <c r="AE234" s="26">
        <v>0</v>
      </c>
      <c r="AF234" s="26"/>
      <c r="AG234" s="26">
        <v>291572.31503988599</v>
      </c>
      <c r="AH234" s="26">
        <v>0</v>
      </c>
      <c r="AI234" s="26">
        <v>0</v>
      </c>
      <c r="AJ234" s="26">
        <v>4563131.4637306379</v>
      </c>
      <c r="AK234" s="26">
        <v>0</v>
      </c>
      <c r="AL234" s="26">
        <v>0</v>
      </c>
      <c r="AM234" s="26">
        <v>1832104.2860598667</v>
      </c>
      <c r="AN234" s="31">
        <v>196267.86772724849</v>
      </c>
      <c r="AO234" s="32">
        <v>376606.07284526742</v>
      </c>
      <c r="AP234" s="77">
        <f>+N234-'Приложение №2'!E234</f>
        <v>0</v>
      </c>
      <c r="AQ234" s="1">
        <v>1678059.52</v>
      </c>
      <c r="AR234" s="1">
        <f t="shared" si="74"/>
        <v>385723.88339999993</v>
      </c>
      <c r="AS234" s="1">
        <f>+(K234*13.29+L234*22.52)*12*30</f>
        <v>13613784.119999999</v>
      </c>
      <c r="AT234" s="28">
        <f t="shared" si="61"/>
        <v>-13613784.119999999</v>
      </c>
      <c r="AU234" s="28">
        <f>+P234-'[6]Приложение №1'!$P235</f>
        <v>0</v>
      </c>
      <c r="AV234" s="28">
        <f>+Q234-'[6]Приложение №1'!$Q235</f>
        <v>0</v>
      </c>
      <c r="AW234" s="28">
        <f>+R234-'[6]Приложение №1'!$R235</f>
        <v>0</v>
      </c>
      <c r="AX234" s="28">
        <f>+S234-'[6]Приложение №1'!$S235</f>
        <v>0</v>
      </c>
      <c r="AY234" s="28">
        <f>+T234-'[6]Приложение №1'!$T235</f>
        <v>0</v>
      </c>
    </row>
    <row r="235" spans="1:51" x14ac:dyDescent="0.25">
      <c r="A235" s="137">
        <f t="shared" si="65"/>
        <v>217</v>
      </c>
      <c r="B235" s="138">
        <f t="shared" si="66"/>
        <v>29</v>
      </c>
      <c r="C235" s="120" t="s">
        <v>81</v>
      </c>
      <c r="D235" s="120" t="s">
        <v>305</v>
      </c>
      <c r="E235" s="121">
        <v>1990</v>
      </c>
      <c r="F235" s="121">
        <v>2017</v>
      </c>
      <c r="G235" s="121" t="s">
        <v>83</v>
      </c>
      <c r="H235" s="121">
        <v>9</v>
      </c>
      <c r="I235" s="121">
        <v>1</v>
      </c>
      <c r="J235" s="107">
        <v>3216.7</v>
      </c>
      <c r="K235" s="107">
        <v>2758.3</v>
      </c>
      <c r="L235" s="107">
        <v>0</v>
      </c>
      <c r="M235" s="122">
        <v>101</v>
      </c>
      <c r="N235" s="123">
        <f t="shared" si="62"/>
        <v>1025546.3535245289</v>
      </c>
      <c r="O235" s="107"/>
      <c r="P235" s="108"/>
      <c r="Q235" s="108"/>
      <c r="R235" s="108">
        <f>+'Приложение №2'!E235</f>
        <v>1025546.3535245289</v>
      </c>
      <c r="S235" s="108">
        <f>+'Приложение №2'!E235-'Приложение №1'!R235</f>
        <v>0</v>
      </c>
      <c r="T235" s="107">
        <f>+'Приложение №2'!E235-'Приложение №1'!P235-'Приложение №1'!Q235-'Приложение №1'!R235-'Приложение №1'!S235</f>
        <v>0</v>
      </c>
      <c r="U235" s="108">
        <f>$N235/($K235+$L235)</f>
        <v>371.80377534152518</v>
      </c>
      <c r="V235" s="108">
        <f>$N235/($K235+$L235)</f>
        <v>371.80377534152518</v>
      </c>
      <c r="W235" s="135">
        <v>2023</v>
      </c>
      <c r="X235" s="28" t="e">
        <f>+#REF!-'[1]Приложение №1'!$P949</f>
        <v>#REF!</v>
      </c>
      <c r="Z235" s="30">
        <f>SUM(AA235:AO235)</f>
        <v>15264572.541393431</v>
      </c>
      <c r="AA235" s="26">
        <v>8237660.7623945801</v>
      </c>
      <c r="AB235" s="26">
        <v>3295849.9656590605</v>
      </c>
      <c r="AC235" s="26">
        <v>0</v>
      </c>
      <c r="AD235" s="26">
        <v>1555634.312885293</v>
      </c>
      <c r="AE235" s="26">
        <v>0</v>
      </c>
      <c r="AF235" s="26"/>
      <c r="AG235" s="26">
        <v>365987.77006138454</v>
      </c>
      <c r="AH235" s="26">
        <v>0</v>
      </c>
      <c r="AI235" s="26">
        <v>0</v>
      </c>
      <c r="AJ235" s="26">
        <v>0</v>
      </c>
      <c r="AK235" s="26">
        <v>0</v>
      </c>
      <c r="AL235" s="26">
        <v>0</v>
      </c>
      <c r="AM235" s="26">
        <v>1362557.5016525821</v>
      </c>
      <c r="AN235" s="31">
        <v>152645.7254139343</v>
      </c>
      <c r="AO235" s="32">
        <v>294236.50332659599</v>
      </c>
      <c r="AP235" s="77">
        <f>+N235-'Приложение №2'!E235</f>
        <v>0</v>
      </c>
      <c r="AQ235" s="1">
        <v>1661335.31</v>
      </c>
      <c r="AR235" s="1">
        <f>+(K235*13.29+L235*22.52)*12*0.85</f>
        <v>373909.63140000001</v>
      </c>
      <c r="AS235" s="1">
        <f>+(K235*13.29+L235*22.52)*12*30</f>
        <v>13196810.52</v>
      </c>
      <c r="AT235" s="28">
        <f>+S235-AS235</f>
        <v>-13196810.52</v>
      </c>
    </row>
    <row r="236" spans="1:51" x14ac:dyDescent="0.25">
      <c r="A236" s="137">
        <f t="shared" si="65"/>
        <v>218</v>
      </c>
      <c r="B236" s="138">
        <f t="shared" si="66"/>
        <v>30</v>
      </c>
      <c r="C236" s="120" t="s">
        <v>81</v>
      </c>
      <c r="D236" s="120" t="s">
        <v>306</v>
      </c>
      <c r="E236" s="121">
        <v>1990</v>
      </c>
      <c r="F236" s="121">
        <v>2017</v>
      </c>
      <c r="G236" s="121" t="s">
        <v>83</v>
      </c>
      <c r="H236" s="121">
        <v>9</v>
      </c>
      <c r="I236" s="121">
        <v>1</v>
      </c>
      <c r="J236" s="107">
        <v>3238.8</v>
      </c>
      <c r="K236" s="107">
        <v>2708.3</v>
      </c>
      <c r="L236" s="107">
        <v>76.599999999999994</v>
      </c>
      <c r="M236" s="122">
        <v>79</v>
      </c>
      <c r="N236" s="133">
        <f t="shared" si="62"/>
        <v>2354342.2921141018</v>
      </c>
      <c r="O236" s="107"/>
      <c r="P236" s="108"/>
      <c r="Q236" s="108"/>
      <c r="R236" s="108">
        <f>+AQ236+AR236</f>
        <v>757569.21779999987</v>
      </c>
      <c r="S236" s="108">
        <f>+'Приложение №2'!E236-'Приложение №1'!R236</f>
        <v>1596773.0743141021</v>
      </c>
      <c r="T236" s="108">
        <v>0</v>
      </c>
      <c r="U236" s="107">
        <f t="shared" si="72"/>
        <v>845.39563076379829</v>
      </c>
      <c r="V236" s="107">
        <f t="shared" si="72"/>
        <v>845.39563076379829</v>
      </c>
      <c r="W236" s="135">
        <v>2023</v>
      </c>
      <c r="X236" s="28" t="e">
        <f>+#REF!-'[1]Приложение №1'!$P950</f>
        <v>#REF!</v>
      </c>
      <c r="Z236" s="30">
        <f t="shared" si="73"/>
        <v>19952132.223097902</v>
      </c>
      <c r="AA236" s="26">
        <v>6671503.605404323</v>
      </c>
      <c r="AB236" s="26">
        <v>2669237.7318017208</v>
      </c>
      <c r="AC236" s="26">
        <v>1971493.3699526463</v>
      </c>
      <c r="AD236" s="26">
        <v>1259874.6448121567</v>
      </c>
      <c r="AE236" s="26">
        <v>0</v>
      </c>
      <c r="AF236" s="26"/>
      <c r="AG236" s="26">
        <v>296405.59352053836</v>
      </c>
      <c r="AH236" s="26">
        <v>0</v>
      </c>
      <c r="AI236" s="26">
        <v>0</v>
      </c>
      <c r="AJ236" s="26">
        <v>4638772.6819478758</v>
      </c>
      <c r="AK236" s="26">
        <v>0</v>
      </c>
      <c r="AL236" s="26">
        <v>0</v>
      </c>
      <c r="AM236" s="26">
        <v>1862474.3512662044</v>
      </c>
      <c r="AN236" s="31">
        <v>199521.32223097901</v>
      </c>
      <c r="AO236" s="32">
        <v>382848.92216145538</v>
      </c>
      <c r="AP236" s="77">
        <f>+N236-'Приложение №2'!E236</f>
        <v>0</v>
      </c>
      <c r="AQ236" s="1">
        <f>1684481.19-1311639.03</f>
        <v>372842.15999999992</v>
      </c>
      <c r="AR236" s="1">
        <f t="shared" si="74"/>
        <v>384727.05779999995</v>
      </c>
      <c r="AS236" s="1">
        <f>+(K236*13.29+L236*22.52)*12*30-4612448.03</f>
        <v>8966154.0099999979</v>
      </c>
      <c r="AT236" s="28">
        <f t="shared" si="61"/>
        <v>-7369380.9356858954</v>
      </c>
      <c r="AU236" s="28">
        <f>+P236-'[6]Приложение №1'!$P236</f>
        <v>0</v>
      </c>
      <c r="AV236" s="28">
        <f>+Q236-'[6]Приложение №1'!$Q236</f>
        <v>0</v>
      </c>
      <c r="AW236" s="28">
        <f>+R236-'[6]Приложение №1'!$R236</f>
        <v>0</v>
      </c>
      <c r="AX236" s="28">
        <f>+S236-'[6]Приложение №1'!$S236</f>
        <v>0</v>
      </c>
      <c r="AY236" s="28">
        <f>+T236-'[6]Приложение №1'!$T236</f>
        <v>0</v>
      </c>
    </row>
    <row r="237" spans="1:51" x14ac:dyDescent="0.25">
      <c r="A237" s="137">
        <f t="shared" si="65"/>
        <v>219</v>
      </c>
      <c r="B237" s="138">
        <f t="shared" si="66"/>
        <v>31</v>
      </c>
      <c r="C237" s="120" t="s">
        <v>81</v>
      </c>
      <c r="D237" s="120" t="s">
        <v>291</v>
      </c>
      <c r="E237" s="121">
        <v>1991</v>
      </c>
      <c r="F237" s="121">
        <v>1991</v>
      </c>
      <c r="G237" s="121" t="s">
        <v>83</v>
      </c>
      <c r="H237" s="121">
        <v>5</v>
      </c>
      <c r="I237" s="121">
        <v>8</v>
      </c>
      <c r="J237" s="107">
        <v>7532.7</v>
      </c>
      <c r="K237" s="107">
        <v>6513.5</v>
      </c>
      <c r="L237" s="107">
        <v>98.2</v>
      </c>
      <c r="M237" s="122">
        <v>288</v>
      </c>
      <c r="N237" s="123">
        <f t="shared" si="62"/>
        <v>5259601.8489347352</v>
      </c>
      <c r="O237" s="134"/>
      <c r="P237" s="108">
        <f>8851318.81019353-8851318.81019353</f>
        <v>0</v>
      </c>
      <c r="Q237" s="108"/>
      <c r="R237" s="108">
        <v>2140753.46</v>
      </c>
      <c r="S237" s="108">
        <f>+'Приложение №2'!E237-'Приложение №1'!P237-'Приложение №1'!Q237-'Приложение №1'!R237</f>
        <v>3118848.3889347352</v>
      </c>
      <c r="T237" s="107">
        <f>+'Приложение №2'!E237-'Приложение №1'!P237-'Приложение №1'!Q237-'Приложение №1'!R237-'Приложение №1'!S237</f>
        <v>0</v>
      </c>
      <c r="U237" s="108">
        <f t="shared" si="72"/>
        <v>795.49916798020706</v>
      </c>
      <c r="V237" s="108">
        <f t="shared" si="72"/>
        <v>795.49916798020706</v>
      </c>
      <c r="W237" s="135">
        <v>2022</v>
      </c>
      <c r="X237" s="28" t="e">
        <f>+#REF!-'[1]Приложение №1'!$P769</f>
        <v>#REF!</v>
      </c>
      <c r="Z237" s="30">
        <f t="shared" ref="Z237" si="76">SUM(AA237:AO237)</f>
        <v>28038201.105236776</v>
      </c>
      <c r="AA237" s="26">
        <v>13119220.497721607</v>
      </c>
      <c r="AB237" s="26">
        <v>5615316.9923980432</v>
      </c>
      <c r="AC237" s="26">
        <v>0</v>
      </c>
      <c r="AD237" s="26">
        <v>5294421.916446479</v>
      </c>
      <c r="AE237" s="26">
        <v>0</v>
      </c>
      <c r="AF237" s="26"/>
      <c r="AG237" s="26">
        <v>544692.12481384957</v>
      </c>
      <c r="AH237" s="26">
        <v>0</v>
      </c>
      <c r="AI237" s="26">
        <v>0</v>
      </c>
      <c r="AJ237" s="26">
        <v>0</v>
      </c>
      <c r="AK237" s="26">
        <v>0</v>
      </c>
      <c r="AL237" s="26">
        <v>0</v>
      </c>
      <c r="AM237" s="26">
        <v>2646791.5738696922</v>
      </c>
      <c r="AN237" s="31">
        <v>280382.01105236774</v>
      </c>
      <c r="AO237" s="32">
        <v>537375.98893473484</v>
      </c>
      <c r="AP237" s="77">
        <f>+N237-'Приложение №2'!E237</f>
        <v>0</v>
      </c>
      <c r="AQ237" s="1">
        <f>3159895.02-'[4]Приложение №1'!$R$23-542094.29</f>
        <v>2338680.5110857142</v>
      </c>
      <c r="AR237" s="1">
        <f>+(K237*10+L237*20)*12*0.85</f>
        <v>684409.79999999993</v>
      </c>
      <c r="AS237" s="1">
        <f>+(K237*10+L237*20)*12*30-'[4]Приложение №1'!$S$23-4668048.56</f>
        <v>19282413.25</v>
      </c>
      <c r="AT237" s="28">
        <f t="shared" si="61"/>
        <v>-16163564.861065265</v>
      </c>
    </row>
    <row r="238" spans="1:51" x14ac:dyDescent="0.25">
      <c r="A238" s="137">
        <f t="shared" si="65"/>
        <v>220</v>
      </c>
      <c r="B238" s="138">
        <f t="shared" si="66"/>
        <v>32</v>
      </c>
      <c r="C238" s="120" t="s">
        <v>81</v>
      </c>
      <c r="D238" s="120" t="s">
        <v>307</v>
      </c>
      <c r="E238" s="121">
        <v>1995</v>
      </c>
      <c r="F238" s="121">
        <v>2010</v>
      </c>
      <c r="G238" s="121" t="s">
        <v>83</v>
      </c>
      <c r="H238" s="121">
        <v>9</v>
      </c>
      <c r="I238" s="121">
        <v>1</v>
      </c>
      <c r="J238" s="107">
        <v>2996.5</v>
      </c>
      <c r="K238" s="107">
        <v>2550.1</v>
      </c>
      <c r="L238" s="107">
        <v>76.599999999999994</v>
      </c>
      <c r="M238" s="122">
        <v>105</v>
      </c>
      <c r="N238" s="133">
        <f t="shared" si="62"/>
        <v>1852088.6992158722</v>
      </c>
      <c r="O238" s="107"/>
      <c r="P238" s="108"/>
      <c r="Q238" s="108"/>
      <c r="R238" s="108">
        <f>+AQ238+AR238</f>
        <v>1353266.2159999998</v>
      </c>
      <c r="S238" s="108">
        <f>+'Приложение №2'!E238-'Приложение №1'!R238</f>
        <v>498822.48321587243</v>
      </c>
      <c r="T238" s="108">
        <v>0</v>
      </c>
      <c r="U238" s="107">
        <f t="shared" si="72"/>
        <v>705.10096288722445</v>
      </c>
      <c r="V238" s="107">
        <f t="shared" si="72"/>
        <v>705.10096288722445</v>
      </c>
      <c r="W238" s="135">
        <v>2023</v>
      </c>
      <c r="X238" s="28" t="e">
        <f>+#REF!-'[1]Приложение №1'!$P958</f>
        <v>#REF!</v>
      </c>
      <c r="Z238" s="30">
        <f t="shared" si="73"/>
        <v>13446173.905525668</v>
      </c>
      <c r="AA238" s="26">
        <v>6133316.7977849664</v>
      </c>
      <c r="AB238" s="26">
        <v>2453911.6795918704</v>
      </c>
      <c r="AC238" s="26">
        <v>1812454.0010526525</v>
      </c>
      <c r="AD238" s="26">
        <v>1158241.1970624225</v>
      </c>
      <c r="AE238" s="26">
        <v>0</v>
      </c>
      <c r="AF238" s="26"/>
      <c r="AG238" s="26">
        <v>272494.70482550462</v>
      </c>
      <c r="AH238" s="26">
        <v>0</v>
      </c>
      <c r="AI238" s="26">
        <v>0</v>
      </c>
      <c r="AJ238" s="26">
        <v>0</v>
      </c>
      <c r="AK238" s="26">
        <v>0</v>
      </c>
      <c r="AL238" s="26">
        <v>0</v>
      </c>
      <c r="AM238" s="26">
        <v>1222586.4968225325</v>
      </c>
      <c r="AN238" s="31">
        <v>134461.73905525671</v>
      </c>
      <c r="AO238" s="32">
        <v>258707.28933046467</v>
      </c>
      <c r="AP238" s="77">
        <f>+N238-'Приложение №2'!E238</f>
        <v>0</v>
      </c>
      <c r="AQ238" s="1">
        <f>1427710.38-437725.9462</f>
        <v>989984.43379999988</v>
      </c>
      <c r="AR238" s="1">
        <f t="shared" si="74"/>
        <v>363281.78219999996</v>
      </c>
      <c r="AS238" s="1">
        <f>+(K238*13.29+L238*22.52)*12*30-2628414.08</f>
        <v>10193295.879999997</v>
      </c>
      <c r="AT238" s="28">
        <f t="shared" si="61"/>
        <v>-9694473.3967841249</v>
      </c>
      <c r="AU238" s="28">
        <f>+P238-'[6]Приложение №1'!$P237</f>
        <v>0</v>
      </c>
      <c r="AV238" s="28">
        <f>+Q238-'[6]Приложение №1'!$Q237</f>
        <v>0</v>
      </c>
      <c r="AW238" s="28">
        <f>+R238-'[6]Приложение №1'!$R237</f>
        <v>0</v>
      </c>
      <c r="AX238" s="28">
        <f>+S238-'[6]Приложение №1'!$S237</f>
        <v>0</v>
      </c>
      <c r="AY238" s="28">
        <f>+T238-'[6]Приложение №1'!$T237</f>
        <v>0</v>
      </c>
    </row>
    <row r="239" spans="1:51" x14ac:dyDescent="0.25">
      <c r="A239" s="137">
        <f t="shared" si="65"/>
        <v>221</v>
      </c>
      <c r="B239" s="138">
        <f t="shared" si="66"/>
        <v>33</v>
      </c>
      <c r="C239" s="120" t="s">
        <v>81</v>
      </c>
      <c r="D239" s="120" t="s">
        <v>295</v>
      </c>
      <c r="E239" s="121">
        <v>1983</v>
      </c>
      <c r="F239" s="121">
        <v>2008</v>
      </c>
      <c r="G239" s="121" t="s">
        <v>83</v>
      </c>
      <c r="H239" s="121">
        <v>5</v>
      </c>
      <c r="I239" s="121">
        <v>3</v>
      </c>
      <c r="J239" s="107">
        <v>5132.1000000000004</v>
      </c>
      <c r="K239" s="107">
        <v>4364.6000000000004</v>
      </c>
      <c r="L239" s="107">
        <v>0</v>
      </c>
      <c r="M239" s="122">
        <v>197</v>
      </c>
      <c r="N239" s="133">
        <f t="shared" si="62"/>
        <v>3347402.022785434</v>
      </c>
      <c r="O239" s="107"/>
      <c r="P239" s="108">
        <v>822035.24829823943</v>
      </c>
      <c r="Q239" s="108"/>
      <c r="R239" s="108">
        <f>+AQ239+AR239</f>
        <v>0</v>
      </c>
      <c r="S239" s="108">
        <f>+'Приложение №2'!E239-'Приложение №1'!P239</f>
        <v>2525366.7744871946</v>
      </c>
      <c r="T239" s="108">
        <v>0</v>
      </c>
      <c r="U239" s="107">
        <f t="shared" si="72"/>
        <v>766.94359684402548</v>
      </c>
      <c r="V239" s="107">
        <f t="shared" si="72"/>
        <v>766.94359684402548</v>
      </c>
      <c r="W239" s="135">
        <v>2023</v>
      </c>
      <c r="X239" s="28" t="e">
        <f>+#REF!-'[1]Приложение №1'!$P1205</f>
        <v>#REF!</v>
      </c>
      <c r="Z239" s="30">
        <f t="shared" si="73"/>
        <v>38187844.389634863</v>
      </c>
      <c r="AA239" s="26">
        <v>8573356.2018279508</v>
      </c>
      <c r="AB239" s="26">
        <v>3669586.3729378125</v>
      </c>
      <c r="AC239" s="26">
        <v>3275767.6194978259</v>
      </c>
      <c r="AD239" s="26">
        <v>3459882.7712624557</v>
      </c>
      <c r="AE239" s="26">
        <v>0</v>
      </c>
      <c r="AF239" s="26"/>
      <c r="AG239" s="26">
        <v>355954.04522476508</v>
      </c>
      <c r="AH239" s="26">
        <v>0</v>
      </c>
      <c r="AI239" s="26">
        <v>14183322.770203391</v>
      </c>
      <c r="AJ239" s="26">
        <v>0</v>
      </c>
      <c r="AK239" s="26">
        <v>0</v>
      </c>
      <c r="AL239" s="26">
        <v>0</v>
      </c>
      <c r="AM239" s="26">
        <v>3555128.2378351944</v>
      </c>
      <c r="AN239" s="31">
        <v>381878.4438963487</v>
      </c>
      <c r="AO239" s="32">
        <v>732967.9269491313</v>
      </c>
      <c r="AP239" s="77">
        <f>+N239-'Приложение №2'!E239</f>
        <v>0</v>
      </c>
      <c r="AQ239" s="28">
        <f>2036649.87-R50</f>
        <v>-445189.20000000019</v>
      </c>
      <c r="AR239" s="1">
        <f>+(K239*10+L239*20)*12*0.85</f>
        <v>445189.2</v>
      </c>
      <c r="AS239" s="1">
        <f>+(K239*10+L239*20)*12*30-S50</f>
        <v>7049848.428146027</v>
      </c>
      <c r="AT239" s="28">
        <f t="shared" si="61"/>
        <v>-4524481.6536588324</v>
      </c>
      <c r="AU239" s="28">
        <f>+P239-'[6]Приложение №1'!$P238</f>
        <v>0</v>
      </c>
      <c r="AV239" s="28">
        <f>+Q239-'[6]Приложение №1'!$Q238</f>
        <v>0</v>
      </c>
      <c r="AW239" s="28">
        <f>+R239-'[6]Приложение №1'!$R238</f>
        <v>0</v>
      </c>
      <c r="AX239" s="28">
        <f>+S239-'[6]Приложение №1'!$S238</f>
        <v>0</v>
      </c>
      <c r="AY239" s="28">
        <f>+T239-'[6]Приложение №1'!$T238</f>
        <v>0</v>
      </c>
    </row>
    <row r="240" spans="1:51" x14ac:dyDescent="0.25">
      <c r="A240" s="137">
        <f t="shared" si="65"/>
        <v>222</v>
      </c>
      <c r="B240" s="138">
        <f t="shared" si="66"/>
        <v>34</v>
      </c>
      <c r="C240" s="120" t="s">
        <v>81</v>
      </c>
      <c r="D240" s="120" t="s">
        <v>197</v>
      </c>
      <c r="E240" s="121">
        <v>1985</v>
      </c>
      <c r="F240" s="121">
        <v>2008</v>
      </c>
      <c r="G240" s="121" t="s">
        <v>83</v>
      </c>
      <c r="H240" s="121">
        <v>5</v>
      </c>
      <c r="I240" s="121">
        <v>5</v>
      </c>
      <c r="J240" s="107">
        <v>7124.7</v>
      </c>
      <c r="K240" s="107">
        <v>5794.3</v>
      </c>
      <c r="L240" s="107">
        <v>252.5</v>
      </c>
      <c r="M240" s="122">
        <v>248</v>
      </c>
      <c r="N240" s="133">
        <f t="shared" si="62"/>
        <v>5076500.6375817275</v>
      </c>
      <c r="O240" s="107"/>
      <c r="P240" s="108"/>
      <c r="Q240" s="108"/>
      <c r="R240" s="108">
        <f>+AQ240+AR240-2015660.67-496815.55</f>
        <v>1074489.9400000002</v>
      </c>
      <c r="S240" s="108">
        <f>+'Приложение №2'!E240-'Приложение №1'!R240</f>
        <v>4002010.6975817271</v>
      </c>
      <c r="T240" s="108">
        <v>2.3283064365386963E-10</v>
      </c>
      <c r="U240" s="107">
        <f t="shared" si="72"/>
        <v>839.53506608151872</v>
      </c>
      <c r="V240" s="107">
        <f t="shared" si="72"/>
        <v>839.53506608151872</v>
      </c>
      <c r="W240" s="135">
        <v>2023</v>
      </c>
      <c r="X240" s="28" t="e">
        <f>+#REF!-'[1]Приложение №1'!$P960</f>
        <v>#REF!</v>
      </c>
      <c r="Z240" s="30">
        <f t="shared" si="73"/>
        <v>30311487.044534598</v>
      </c>
      <c r="AA240" s="26">
        <v>11767409.930327574</v>
      </c>
      <c r="AB240" s="26">
        <v>5036712.1239983374</v>
      </c>
      <c r="AC240" s="26">
        <v>4496173.9029232748</v>
      </c>
      <c r="AD240" s="26">
        <v>4748882.2255679024</v>
      </c>
      <c r="AE240" s="26">
        <v>0</v>
      </c>
      <c r="AF240" s="26"/>
      <c r="AG240" s="26">
        <v>488566.79553627956</v>
      </c>
      <c r="AH240" s="26">
        <v>0</v>
      </c>
      <c r="AI240" s="26">
        <v>0</v>
      </c>
      <c r="AJ240" s="26">
        <v>0</v>
      </c>
      <c r="AK240" s="26">
        <v>0</v>
      </c>
      <c r="AL240" s="26">
        <v>0</v>
      </c>
      <c r="AM240" s="26">
        <v>2890300.461077428</v>
      </c>
      <c r="AN240" s="31">
        <v>303114.87044534594</v>
      </c>
      <c r="AO240" s="32">
        <v>580326.73465845292</v>
      </c>
      <c r="AP240" s="77">
        <f>+N240-'Приложение №2'!E240</f>
        <v>0</v>
      </c>
      <c r="AQ240" s="1">
        <v>2944437.56</v>
      </c>
      <c r="AR240" s="1">
        <f>+(K240*10+L240*20)*12*0.85</f>
        <v>642528.6</v>
      </c>
      <c r="AS240" s="1">
        <f>+(K240*10+L240*20)*12*30-11358024</f>
        <v>11319456</v>
      </c>
      <c r="AT240" s="28">
        <f t="shared" si="61"/>
        <v>-7317445.3024182729</v>
      </c>
      <c r="AU240" s="28">
        <f>+P240-'[6]Приложение №1'!$P239</f>
        <v>-822035.24829823943</v>
      </c>
      <c r="AV240" s="28">
        <f>+Q240-'[6]Приложение №1'!$Q239</f>
        <v>0</v>
      </c>
      <c r="AW240" s="28">
        <f>+R240-'[6]Приложение №1'!$R239</f>
        <v>0</v>
      </c>
      <c r="AX240" s="28">
        <f>+S240-'[6]Приложение №1'!$S239</f>
        <v>0</v>
      </c>
      <c r="AY240" s="28">
        <f>+T240-'[6]Приложение №1'!$T239</f>
        <v>0</v>
      </c>
    </row>
    <row r="241" spans="1:51" x14ac:dyDescent="0.25">
      <c r="A241" s="137">
        <f t="shared" si="65"/>
        <v>223</v>
      </c>
      <c r="B241" s="138">
        <f t="shared" si="66"/>
        <v>35</v>
      </c>
      <c r="C241" s="120" t="s">
        <v>81</v>
      </c>
      <c r="D241" s="120" t="s">
        <v>227</v>
      </c>
      <c r="E241" s="121">
        <v>1986</v>
      </c>
      <c r="F241" s="121">
        <v>2016</v>
      </c>
      <c r="G241" s="121" t="s">
        <v>83</v>
      </c>
      <c r="H241" s="121">
        <v>5</v>
      </c>
      <c r="I241" s="121">
        <v>4</v>
      </c>
      <c r="J241" s="107">
        <v>5735.9</v>
      </c>
      <c r="K241" s="107">
        <v>4570.5</v>
      </c>
      <c r="L241" s="107">
        <v>392.5</v>
      </c>
      <c r="M241" s="122">
        <v>186</v>
      </c>
      <c r="N241" s="133">
        <f t="shared" si="62"/>
        <v>3746079.1046375427</v>
      </c>
      <c r="O241" s="107"/>
      <c r="P241" s="108"/>
      <c r="Q241" s="108"/>
      <c r="R241" s="108">
        <f t="shared" ref="R241:R252" si="77">+AQ241+AR241</f>
        <v>2232501.41</v>
      </c>
      <c r="S241" s="108">
        <f>+'Приложение №2'!E241-'Приложение №1'!R241</f>
        <v>1513577.6946375426</v>
      </c>
      <c r="T241" s="108">
        <v>0</v>
      </c>
      <c r="U241" s="107">
        <f t="shared" si="72"/>
        <v>754.80135092434875</v>
      </c>
      <c r="V241" s="107">
        <f t="shared" si="72"/>
        <v>754.80135092434875</v>
      </c>
      <c r="W241" s="135">
        <v>2023</v>
      </c>
      <c r="X241" s="28" t="e">
        <f>+#REF!-'[1]Приложение №1'!$P961</f>
        <v>#REF!</v>
      </c>
      <c r="Z241" s="30">
        <f t="shared" si="73"/>
        <v>4209077.6456601601</v>
      </c>
      <c r="AA241" s="26">
        <v>0</v>
      </c>
      <c r="AB241" s="26">
        <v>0</v>
      </c>
      <c r="AC241" s="26">
        <v>3665913.0117982994</v>
      </c>
      <c r="AD241" s="26">
        <v>0</v>
      </c>
      <c r="AE241" s="26">
        <v>0</v>
      </c>
      <c r="AF241" s="26"/>
      <c r="AG241" s="26">
        <v>0</v>
      </c>
      <c r="AH241" s="26">
        <v>0</v>
      </c>
      <c r="AI241" s="26">
        <v>0</v>
      </c>
      <c r="AJ241" s="26">
        <v>0</v>
      </c>
      <c r="AK241" s="26">
        <v>0</v>
      </c>
      <c r="AL241" s="26">
        <v>0</v>
      </c>
      <c r="AM241" s="26">
        <v>420907.76456601603</v>
      </c>
      <c r="AN241" s="31">
        <v>42090.776456601605</v>
      </c>
      <c r="AO241" s="32">
        <v>80166.092839243414</v>
      </c>
      <c r="AP241" s="77">
        <f>+N241-'Приложение №2'!E241</f>
        <v>0</v>
      </c>
      <c r="AQ241" s="1">
        <f>2433536.43-747296.02</f>
        <v>1686240.4100000001</v>
      </c>
      <c r="AR241" s="1">
        <f>+(K241*10+L241*20)*12*0.85</f>
        <v>546261</v>
      </c>
      <c r="AS241" s="1">
        <f>+(K241*10+L241*20)*12*30-4108823.88</f>
        <v>15170976.120000001</v>
      </c>
      <c r="AT241" s="28">
        <f t="shared" si="61"/>
        <v>-13657398.425362458</v>
      </c>
      <c r="AU241" s="28">
        <f>+P241-'[6]Приложение №1'!$P240</f>
        <v>0</v>
      </c>
      <c r="AV241" s="28">
        <f>+Q241-'[6]Приложение №1'!$Q240</f>
        <v>0</v>
      </c>
      <c r="AW241" s="28">
        <f>+R241-'[6]Приложение №1'!$R240</f>
        <v>0</v>
      </c>
      <c r="AX241" s="28">
        <f>+S241-'[6]Приложение №1'!$S240</f>
        <v>0</v>
      </c>
      <c r="AY241" s="28">
        <f>+T241-'[6]Приложение №1'!$T240</f>
        <v>0</v>
      </c>
    </row>
    <row r="242" spans="1:51" x14ac:dyDescent="0.25">
      <c r="A242" s="137">
        <f t="shared" si="65"/>
        <v>224</v>
      </c>
      <c r="B242" s="138">
        <f t="shared" si="66"/>
        <v>36</v>
      </c>
      <c r="C242" s="120" t="s">
        <v>81</v>
      </c>
      <c r="D242" s="120" t="s">
        <v>201</v>
      </c>
      <c r="E242" s="121">
        <v>1992</v>
      </c>
      <c r="F242" s="121">
        <v>2001</v>
      </c>
      <c r="G242" s="121" t="s">
        <v>43</v>
      </c>
      <c r="H242" s="121">
        <v>3</v>
      </c>
      <c r="I242" s="121">
        <v>5</v>
      </c>
      <c r="J242" s="107">
        <v>2965.1</v>
      </c>
      <c r="K242" s="107">
        <v>2484</v>
      </c>
      <c r="L242" s="107">
        <v>87.5</v>
      </c>
      <c r="M242" s="122">
        <v>91</v>
      </c>
      <c r="N242" s="123">
        <f t="shared" si="62"/>
        <v>9298826.2293740809</v>
      </c>
      <c r="O242" s="107"/>
      <c r="P242" s="108">
        <f>4000000+1684428.35+1307238.04</f>
        <v>6991666.3899999997</v>
      </c>
      <c r="Q242" s="108"/>
      <c r="R242" s="108">
        <f>+AR242</f>
        <v>271218</v>
      </c>
      <c r="S242" s="108">
        <f>+AS242</f>
        <v>2035941.8399999999</v>
      </c>
      <c r="T242" s="108">
        <f>+'Приложение №2'!E242-'Приложение №1'!P242-'Приложение №1'!R242-'Приложение №1'!S242</f>
        <v>-6.2591861933469772E-4</v>
      </c>
      <c r="U242" s="108">
        <f t="shared" si="72"/>
        <v>3616.1097528190089</v>
      </c>
      <c r="V242" s="108">
        <f t="shared" si="72"/>
        <v>3616.1097528190089</v>
      </c>
      <c r="W242" s="135">
        <v>2023</v>
      </c>
      <c r="X242" s="28" t="e">
        <f>+#REF!-'[1]Приложение №1'!$P1556</f>
        <v>#REF!</v>
      </c>
      <c r="Z242" s="30">
        <f t="shared" si="73"/>
        <v>25552155.489999998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  <c r="AF242" s="26"/>
      <c r="AG242" s="26">
        <v>0</v>
      </c>
      <c r="AH242" s="26">
        <v>0</v>
      </c>
      <c r="AI242" s="26">
        <v>22504805.426262595</v>
      </c>
      <c r="AJ242" s="26">
        <v>0</v>
      </c>
      <c r="AK242" s="26">
        <v>0</v>
      </c>
      <c r="AL242" s="26">
        <v>0</v>
      </c>
      <c r="AM242" s="26">
        <v>2299693.9940999998</v>
      </c>
      <c r="AN242" s="31">
        <v>255521.55489999999</v>
      </c>
      <c r="AO242" s="32">
        <v>492134.51473739999</v>
      </c>
      <c r="AP242" s="77">
        <f>+N242-'Приложение №2'!E242</f>
        <v>0</v>
      </c>
      <c r="AQ242" s="28">
        <f>1173019.05-R51</f>
        <v>-13985.589374080999</v>
      </c>
      <c r="AR242" s="1">
        <f t="shared" ref="AR242" si="78">+(K242*10+L242*20)*12*0.85</f>
        <v>271218</v>
      </c>
      <c r="AS242" s="1">
        <f>+(K242*10+L242*20)*12*30-S51</f>
        <v>2035941.8399999999</v>
      </c>
      <c r="AT242" s="28">
        <f t="shared" si="61"/>
        <v>0</v>
      </c>
    </row>
    <row r="243" spans="1:51" x14ac:dyDescent="0.25">
      <c r="A243" s="137">
        <f t="shared" si="65"/>
        <v>225</v>
      </c>
      <c r="B243" s="138">
        <f t="shared" si="66"/>
        <v>37</v>
      </c>
      <c r="C243" s="120" t="s">
        <v>81</v>
      </c>
      <c r="D243" s="120" t="s">
        <v>202</v>
      </c>
      <c r="E243" s="121">
        <v>1987</v>
      </c>
      <c r="F243" s="121">
        <v>2017</v>
      </c>
      <c r="G243" s="121" t="s">
        <v>83</v>
      </c>
      <c r="H243" s="121">
        <v>9</v>
      </c>
      <c r="I243" s="121">
        <v>1</v>
      </c>
      <c r="J243" s="107">
        <v>2767.8</v>
      </c>
      <c r="K243" s="107">
        <v>2150.8000000000002</v>
      </c>
      <c r="L243" s="107">
        <v>66.8</v>
      </c>
      <c r="M243" s="122">
        <v>94</v>
      </c>
      <c r="N243" s="133">
        <f t="shared" si="62"/>
        <v>5935901.4009709377</v>
      </c>
      <c r="O243" s="107"/>
      <c r="P243" s="108"/>
      <c r="Q243" s="108"/>
      <c r="R243" s="108">
        <f t="shared" si="77"/>
        <v>1701231.8336</v>
      </c>
      <c r="S243" s="108">
        <f>+'Приложение №2'!E243-'Приложение №1'!R243</f>
        <v>4234669.5673709381</v>
      </c>
      <c r="T243" s="108">
        <v>2.3283064365386963E-10</v>
      </c>
      <c r="U243" s="107">
        <f t="shared" si="72"/>
        <v>2676.7232147235463</v>
      </c>
      <c r="V243" s="107">
        <f t="shared" si="72"/>
        <v>2676.7232147235463</v>
      </c>
      <c r="W243" s="135">
        <v>2023</v>
      </c>
      <c r="X243" s="28" t="e">
        <f>+#REF!-'[1]Приложение №1'!$P969</f>
        <v>#REF!</v>
      </c>
      <c r="Z243" s="30">
        <f t="shared" si="73"/>
        <v>24358296.106563497</v>
      </c>
      <c r="AA243" s="26">
        <v>5322442.2844350552</v>
      </c>
      <c r="AB243" s="26">
        <v>2129484.5377048999</v>
      </c>
      <c r="AC243" s="26">
        <v>0</v>
      </c>
      <c r="AD243" s="26">
        <v>0</v>
      </c>
      <c r="AE243" s="26">
        <v>0</v>
      </c>
      <c r="AF243" s="26"/>
      <c r="AG243" s="26">
        <v>236468.68196531132</v>
      </c>
      <c r="AH243" s="26">
        <v>0</v>
      </c>
      <c r="AI243" s="26">
        <v>0</v>
      </c>
      <c r="AJ243" s="26">
        <v>0</v>
      </c>
      <c r="AK243" s="26">
        <v>13665253.188203763</v>
      </c>
      <c r="AL243" s="26">
        <v>0</v>
      </c>
      <c r="AM243" s="26">
        <v>2294103.4047365393</v>
      </c>
      <c r="AN243" s="31">
        <v>243582.96106563497</v>
      </c>
      <c r="AO243" s="32">
        <v>466961.04845229239</v>
      </c>
      <c r="AP243" s="77">
        <f>+N243-'Приложение №2'!E243</f>
        <v>0</v>
      </c>
      <c r="AQ243" s="1">
        <v>1394329.46</v>
      </c>
      <c r="AR243" s="1">
        <f>+(K243*13.29+L243*22.52)*12*0.85</f>
        <v>306902.37360000005</v>
      </c>
      <c r="AS243" s="1">
        <f>+(K243*13.29+L243*22.52)*12*30</f>
        <v>10831848.48</v>
      </c>
      <c r="AT243" s="28">
        <f t="shared" si="61"/>
        <v>-6597178.9126290623</v>
      </c>
      <c r="AU243" s="28">
        <f>+P243-'[6]Приложение №1'!$P241</f>
        <v>0</v>
      </c>
      <c r="AV243" s="28">
        <f>+Q243-'[6]Приложение №1'!$Q241</f>
        <v>0</v>
      </c>
      <c r="AW243" s="28">
        <f>+R243-'[6]Приложение №1'!$R241</f>
        <v>0</v>
      </c>
      <c r="AX243" s="28">
        <f>+S243-'[6]Приложение №1'!$S241</f>
        <v>0</v>
      </c>
      <c r="AY243" s="28">
        <f>+T243-'[6]Приложение №1'!$T241</f>
        <v>0</v>
      </c>
    </row>
    <row r="244" spans="1:51" x14ac:dyDescent="0.25">
      <c r="A244" s="137">
        <f t="shared" si="65"/>
        <v>226</v>
      </c>
      <c r="B244" s="138">
        <f t="shared" si="66"/>
        <v>38</v>
      </c>
      <c r="C244" s="120" t="s">
        <v>81</v>
      </c>
      <c r="D244" s="120" t="s">
        <v>308</v>
      </c>
      <c r="E244" s="121">
        <v>1988</v>
      </c>
      <c r="F244" s="121">
        <v>2016</v>
      </c>
      <c r="G244" s="121" t="s">
        <v>83</v>
      </c>
      <c r="H244" s="121">
        <v>5</v>
      </c>
      <c r="I244" s="121">
        <v>4</v>
      </c>
      <c r="J244" s="107">
        <v>5772.8</v>
      </c>
      <c r="K244" s="107">
        <v>4849.63</v>
      </c>
      <c r="L244" s="107">
        <v>82.5</v>
      </c>
      <c r="M244" s="122">
        <v>180</v>
      </c>
      <c r="N244" s="133">
        <f t="shared" si="62"/>
        <v>41769554.810000002</v>
      </c>
      <c r="O244" s="107"/>
      <c r="P244" s="108">
        <f>10119409.62+67167.31</f>
        <v>10186576.93</v>
      </c>
      <c r="Q244" s="108"/>
      <c r="R244" s="108">
        <f t="shared" si="77"/>
        <v>2069358.8800000001</v>
      </c>
      <c r="S244" s="108">
        <f>+AS244</f>
        <v>18052668.000000004</v>
      </c>
      <c r="T244" s="108">
        <f>+'Приложение №2'!E244-'Приложение №1'!P244-'Приложение №1'!R244-'Приложение №1'!S244</f>
        <v>11460951</v>
      </c>
      <c r="U244" s="107">
        <f t="shared" si="72"/>
        <v>8468.8673676484614</v>
      </c>
      <c r="V244" s="107">
        <f t="shared" si="72"/>
        <v>8468.8673676484614</v>
      </c>
      <c r="W244" s="135">
        <v>2023</v>
      </c>
      <c r="X244" s="28" t="e">
        <f>+#REF!-'[1]Приложение №1'!$P972</f>
        <v>#REF!</v>
      </c>
      <c r="Z244" s="30">
        <f t="shared" si="73"/>
        <v>42112938.80402752</v>
      </c>
      <c r="AA244" s="26">
        <v>9562345.7271670904</v>
      </c>
      <c r="AB244" s="26">
        <v>4092895.7980599087</v>
      </c>
      <c r="AC244" s="26">
        <v>0</v>
      </c>
      <c r="AD244" s="26">
        <v>0</v>
      </c>
      <c r="AE244" s="26">
        <v>0</v>
      </c>
      <c r="AF244" s="26"/>
      <c r="AG244" s="26">
        <v>397015.54015650821</v>
      </c>
      <c r="AH244" s="26">
        <v>0</v>
      </c>
      <c r="AI244" s="26">
        <v>15819456.546057064</v>
      </c>
      <c r="AJ244" s="26">
        <v>7229112.6864668708</v>
      </c>
      <c r="AK244" s="26">
        <v>0</v>
      </c>
      <c r="AL244" s="26">
        <v>0</v>
      </c>
      <c r="AM244" s="26">
        <v>3779663.18881839</v>
      </c>
      <c r="AN244" s="31">
        <v>421129.3880402752</v>
      </c>
      <c r="AO244" s="32">
        <v>811319.92926141364</v>
      </c>
      <c r="AP244" s="77">
        <f>+N244-'Приложение №2'!E244</f>
        <v>0</v>
      </c>
      <c r="AQ244" s="1">
        <v>1557866.62</v>
      </c>
      <c r="AR244" s="1">
        <f t="shared" ref="AR244:AR250" si="79">+(K244*10+L244*20)*12*0.85</f>
        <v>511492.26000000007</v>
      </c>
      <c r="AS244" s="1">
        <f t="shared" ref="AS244:AS250" si="80">+(K244*10+L244*20)*12*30</f>
        <v>18052668.000000004</v>
      </c>
      <c r="AT244" s="28">
        <f t="shared" si="61"/>
        <v>0</v>
      </c>
      <c r="AU244" s="28">
        <f>+P244-'[6]Приложение №1'!$P242</f>
        <v>-10185674</v>
      </c>
      <c r="AV244" s="28">
        <f>+Q244-'[6]Приложение №1'!$Q242</f>
        <v>0</v>
      </c>
      <c r="AW244" s="28">
        <f>+R244-'[6]Приложение №1'!$R242</f>
        <v>0</v>
      </c>
      <c r="AX244" s="28">
        <f>+S244-'[6]Приложение №1'!$S242</f>
        <v>0</v>
      </c>
      <c r="AY244" s="28">
        <f>+T244-'[6]Приложение №1'!$T242</f>
        <v>10252841.310000002</v>
      </c>
    </row>
    <row r="245" spans="1:51" x14ac:dyDescent="0.25">
      <c r="A245" s="137">
        <f t="shared" si="65"/>
        <v>227</v>
      </c>
      <c r="B245" s="138">
        <f t="shared" si="66"/>
        <v>39</v>
      </c>
      <c r="C245" s="120" t="s">
        <v>81</v>
      </c>
      <c r="D245" s="120" t="s">
        <v>309</v>
      </c>
      <c r="E245" s="121">
        <v>1993</v>
      </c>
      <c r="F245" s="121">
        <v>1993</v>
      </c>
      <c r="G245" s="121" t="s">
        <v>83</v>
      </c>
      <c r="H245" s="121">
        <v>5</v>
      </c>
      <c r="I245" s="121">
        <v>3</v>
      </c>
      <c r="J245" s="107">
        <v>2627.7</v>
      </c>
      <c r="K245" s="107">
        <v>2328</v>
      </c>
      <c r="L245" s="107">
        <v>0</v>
      </c>
      <c r="M245" s="122">
        <v>101</v>
      </c>
      <c r="N245" s="123">
        <f t="shared" si="62"/>
        <v>5241164.7990356795</v>
      </c>
      <c r="O245" s="107"/>
      <c r="P245" s="108">
        <f>257830.73+794309.12</f>
        <v>1052139.8500000001</v>
      </c>
      <c r="Q245" s="108"/>
      <c r="R245" s="108">
        <f>+'Приложение №2'!E245-'Приложение №1'!P245</f>
        <v>4189024.9490356795</v>
      </c>
      <c r="S245" s="108"/>
      <c r="T245" s="107">
        <f>+'Приложение №2'!E245-'Приложение №1'!P245-'Приложение №1'!Q245-'Приложение №1'!R245-'Приложение №1'!S245</f>
        <v>0</v>
      </c>
      <c r="U245" s="108">
        <f>$N245/($K245+$L245)</f>
        <v>2251.3594497575941</v>
      </c>
      <c r="V245" s="108">
        <f>$N245/($K245+$L245)</f>
        <v>2251.3594497575941</v>
      </c>
      <c r="W245" s="135">
        <v>2023</v>
      </c>
      <c r="X245" s="28" t="e">
        <f>+#REF!-'[1]Приложение №1'!$P979</f>
        <v>#REF!</v>
      </c>
      <c r="Z245" s="30">
        <f>SUM(AA245:AO245)</f>
        <v>2025910.3767552001</v>
      </c>
      <c r="AA245" s="26">
        <v>0</v>
      </c>
      <c r="AB245" s="26">
        <v>0</v>
      </c>
      <c r="AC245" s="26">
        <v>1764474.7462764487</v>
      </c>
      <c r="AD245" s="26">
        <v>0</v>
      </c>
      <c r="AE245" s="26">
        <v>0</v>
      </c>
      <c r="AF245" s="26"/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6">
        <v>0</v>
      </c>
      <c r="AM245" s="26">
        <v>202591.03767552003</v>
      </c>
      <c r="AN245" s="31">
        <v>20259.103767552002</v>
      </c>
      <c r="AO245" s="32">
        <v>38585.489035679544</v>
      </c>
      <c r="AP245" s="77">
        <f>+N245-'Приложение №2'!E245</f>
        <v>0</v>
      </c>
      <c r="AQ245" s="1">
        <v>1113195.26</v>
      </c>
      <c r="AR245" s="1">
        <f>+(K245*10+L245*20)*12*0.85</f>
        <v>237456</v>
      </c>
      <c r="AS245" s="1">
        <f>+(K245*10+L245*20)*12*30</f>
        <v>8380800</v>
      </c>
      <c r="AT245" s="28">
        <f>+S245-AS245</f>
        <v>-8380800</v>
      </c>
    </row>
    <row r="246" spans="1:51" x14ac:dyDescent="0.25">
      <c r="A246" s="137">
        <f t="shared" si="65"/>
        <v>228</v>
      </c>
      <c r="B246" s="138">
        <f t="shared" si="66"/>
        <v>40</v>
      </c>
      <c r="C246" s="120" t="s">
        <v>81</v>
      </c>
      <c r="D246" s="120" t="s">
        <v>310</v>
      </c>
      <c r="E246" s="121">
        <v>1987</v>
      </c>
      <c r="F246" s="121">
        <v>2013</v>
      </c>
      <c r="G246" s="121" t="s">
        <v>83</v>
      </c>
      <c r="H246" s="121">
        <v>5</v>
      </c>
      <c r="I246" s="121">
        <v>6</v>
      </c>
      <c r="J246" s="107">
        <v>5156.5</v>
      </c>
      <c r="K246" s="107">
        <v>4643.1499999999996</v>
      </c>
      <c r="L246" s="107">
        <v>0</v>
      </c>
      <c r="M246" s="122">
        <v>198</v>
      </c>
      <c r="N246" s="133">
        <f t="shared" si="62"/>
        <v>18498158.429174457</v>
      </c>
      <c r="O246" s="107"/>
      <c r="P246" s="108"/>
      <c r="Q246" s="108"/>
      <c r="R246" s="108">
        <f t="shared" si="77"/>
        <v>2589978.34</v>
      </c>
      <c r="S246" s="108">
        <f>+'Приложение №2'!E246-'Приложение №1'!R246</f>
        <v>15908180.089174457</v>
      </c>
      <c r="T246" s="108">
        <v>0</v>
      </c>
      <c r="U246" s="107">
        <f t="shared" si="72"/>
        <v>3983.9674421835302</v>
      </c>
      <c r="V246" s="107">
        <f t="shared" si="72"/>
        <v>3983.9674421835302</v>
      </c>
      <c r="W246" s="135">
        <v>2023</v>
      </c>
      <c r="X246" s="28" t="e">
        <f>+#REF!-'[1]Приложение №1'!$P973</f>
        <v>#REF!</v>
      </c>
      <c r="Z246" s="30">
        <f t="shared" si="73"/>
        <v>19097413.753508817</v>
      </c>
      <c r="AA246" s="26">
        <v>9161875.3142818157</v>
      </c>
      <c r="AB246" s="26">
        <v>0</v>
      </c>
      <c r="AC246" s="26">
        <v>3500633.098855949</v>
      </c>
      <c r="AD246" s="26">
        <v>3697386.8583204113</v>
      </c>
      <c r="AE246" s="26">
        <v>0</v>
      </c>
      <c r="AF246" s="26"/>
      <c r="AG246" s="26">
        <v>380388.55533241422</v>
      </c>
      <c r="AH246" s="26">
        <v>0</v>
      </c>
      <c r="AI246" s="26">
        <v>0</v>
      </c>
      <c r="AJ246" s="26">
        <v>0</v>
      </c>
      <c r="AK246" s="26">
        <v>0</v>
      </c>
      <c r="AL246" s="26">
        <v>0</v>
      </c>
      <c r="AM246" s="26">
        <v>1800079.6866966058</v>
      </c>
      <c r="AN246" s="31">
        <v>190974.13753508814</v>
      </c>
      <c r="AO246" s="32">
        <v>366076.10248653049</v>
      </c>
      <c r="AP246" s="77">
        <f>+N246-'Приложение №2'!E246</f>
        <v>0</v>
      </c>
      <c r="AQ246" s="1">
        <v>2116377.04</v>
      </c>
      <c r="AR246" s="1">
        <f t="shared" si="79"/>
        <v>473601.3</v>
      </c>
      <c r="AS246" s="1">
        <f t="shared" si="80"/>
        <v>16715340</v>
      </c>
      <c r="AT246" s="28">
        <f t="shared" si="61"/>
        <v>-807159.91082554311</v>
      </c>
      <c r="AU246" s="28">
        <f>+P246-'[6]Приложение №1'!$P243</f>
        <v>0</v>
      </c>
      <c r="AV246" s="28">
        <f>+Q246-'[6]Приложение №1'!$Q243</f>
        <v>0</v>
      </c>
      <c r="AW246" s="28">
        <f>+R246-'[6]Приложение №1'!$R243</f>
        <v>0</v>
      </c>
      <c r="AX246" s="28">
        <f>+S246-'[6]Приложение №1'!$S243</f>
        <v>0</v>
      </c>
      <c r="AY246" s="28">
        <f>+T246-'[6]Приложение №1'!$T243</f>
        <v>0</v>
      </c>
    </row>
    <row r="247" spans="1:51" x14ac:dyDescent="0.25">
      <c r="A247" s="137">
        <f t="shared" si="65"/>
        <v>229</v>
      </c>
      <c r="B247" s="138">
        <f t="shared" si="66"/>
        <v>41</v>
      </c>
      <c r="C247" s="120" t="s">
        <v>81</v>
      </c>
      <c r="D247" s="120" t="s">
        <v>311</v>
      </c>
      <c r="E247" s="121">
        <v>1987</v>
      </c>
      <c r="F247" s="121">
        <v>2008</v>
      </c>
      <c r="G247" s="121" t="s">
        <v>83</v>
      </c>
      <c r="H247" s="121">
        <v>5</v>
      </c>
      <c r="I247" s="121">
        <v>6</v>
      </c>
      <c r="J247" s="107">
        <v>5142.3999999999996</v>
      </c>
      <c r="K247" s="107">
        <v>4585</v>
      </c>
      <c r="L247" s="107">
        <v>0</v>
      </c>
      <c r="M247" s="122">
        <v>184</v>
      </c>
      <c r="N247" s="133">
        <f t="shared" si="62"/>
        <v>18345600.889129095</v>
      </c>
      <c r="O247" s="107"/>
      <c r="P247" s="108"/>
      <c r="Q247" s="108"/>
      <c r="R247" s="108">
        <f t="shared" si="77"/>
        <v>2658490.19</v>
      </c>
      <c r="S247" s="108">
        <f>+'Приложение №2'!E247-'Приложение №1'!R247</f>
        <v>15687110.699129095</v>
      </c>
      <c r="T247" s="108">
        <v>0</v>
      </c>
      <c r="U247" s="107">
        <f t="shared" si="72"/>
        <v>4001.2215679670871</v>
      </c>
      <c r="V247" s="107">
        <f t="shared" si="72"/>
        <v>4001.2215679670871</v>
      </c>
      <c r="W247" s="135">
        <v>2023</v>
      </c>
      <c r="X247" s="28" t="e">
        <f>+#REF!-'[1]Приложение №1'!$P974</f>
        <v>#REF!</v>
      </c>
      <c r="Z247" s="30">
        <f t="shared" si="73"/>
        <v>18940870.804019675</v>
      </c>
      <c r="AA247" s="26">
        <v>9086774.7272043712</v>
      </c>
      <c r="AB247" s="26">
        <v>0</v>
      </c>
      <c r="AC247" s="26">
        <v>3471938.1437459388</v>
      </c>
      <c r="AD247" s="26">
        <v>3667079.0977160456</v>
      </c>
      <c r="AE247" s="26">
        <v>0</v>
      </c>
      <c r="AF247" s="26"/>
      <c r="AG247" s="26">
        <v>377270.48148366035</v>
      </c>
      <c r="AH247" s="26">
        <v>0</v>
      </c>
      <c r="AI247" s="26">
        <v>0</v>
      </c>
      <c r="AJ247" s="26">
        <v>0</v>
      </c>
      <c r="AK247" s="26">
        <v>0</v>
      </c>
      <c r="AL247" s="26">
        <v>0</v>
      </c>
      <c r="AM247" s="26">
        <v>1785324.2969298</v>
      </c>
      <c r="AN247" s="31">
        <v>189408.70804019674</v>
      </c>
      <c r="AO247" s="32">
        <v>363075.34889966319</v>
      </c>
      <c r="AP247" s="77">
        <f>+N247-'Приложение №2'!E247</f>
        <v>0</v>
      </c>
      <c r="AQ247" s="1">
        <v>2190820.19</v>
      </c>
      <c r="AR247" s="1">
        <f t="shared" si="79"/>
        <v>467670</v>
      </c>
      <c r="AS247" s="1">
        <f t="shared" si="80"/>
        <v>16506000</v>
      </c>
      <c r="AT247" s="28">
        <f t="shared" si="61"/>
        <v>-818889.3008709047</v>
      </c>
      <c r="AU247" s="28">
        <f>+P247-'[6]Приложение №1'!$P244</f>
        <v>-10119409.619999997</v>
      </c>
      <c r="AV247" s="28">
        <f>+Q247-'[6]Приложение №1'!$Q244</f>
        <v>0</v>
      </c>
      <c r="AW247" s="28">
        <f>+R247-'[6]Приложение №1'!$R244</f>
        <v>0</v>
      </c>
      <c r="AX247" s="28">
        <f>+S247-'[6]Приложение №1'!$S244</f>
        <v>0</v>
      </c>
      <c r="AY247" s="28">
        <f>+T247-'[6]Приложение №1'!$T244</f>
        <v>0</v>
      </c>
    </row>
    <row r="248" spans="1:51" x14ac:dyDescent="0.25">
      <c r="A248" s="137">
        <f t="shared" si="65"/>
        <v>230</v>
      </c>
      <c r="B248" s="138">
        <f t="shared" si="66"/>
        <v>42</v>
      </c>
      <c r="C248" s="120" t="s">
        <v>81</v>
      </c>
      <c r="D248" s="120" t="s">
        <v>203</v>
      </c>
      <c r="E248" s="121">
        <v>1988</v>
      </c>
      <c r="F248" s="121">
        <v>2008</v>
      </c>
      <c r="G248" s="121" t="s">
        <v>83</v>
      </c>
      <c r="H248" s="121">
        <v>5</v>
      </c>
      <c r="I248" s="121">
        <v>6</v>
      </c>
      <c r="J248" s="107">
        <v>5139.5</v>
      </c>
      <c r="K248" s="107">
        <v>4552.6000000000004</v>
      </c>
      <c r="L248" s="107">
        <v>68.400000000000006</v>
      </c>
      <c r="M248" s="122">
        <v>203</v>
      </c>
      <c r="N248" s="133">
        <f t="shared" si="62"/>
        <v>18417459.107653033</v>
      </c>
      <c r="O248" s="107"/>
      <c r="P248" s="108"/>
      <c r="Q248" s="108"/>
      <c r="R248" s="108">
        <f t="shared" si="77"/>
        <v>2658783.5799999996</v>
      </c>
      <c r="S248" s="108">
        <f>+'Приложение №2'!E248-'Приложение №1'!R248</f>
        <v>15758675.527653033</v>
      </c>
      <c r="T248" s="108">
        <v>0</v>
      </c>
      <c r="U248" s="107">
        <f t="shared" si="72"/>
        <v>3985.6003262612062</v>
      </c>
      <c r="V248" s="107">
        <f t="shared" si="72"/>
        <v>3985.6003262612062</v>
      </c>
      <c r="W248" s="135">
        <v>2023</v>
      </c>
      <c r="X248" s="28" t="e">
        <f>+#REF!-'[1]Приложение №1'!$P976</f>
        <v>#REF!</v>
      </c>
      <c r="Z248" s="30">
        <f t="shared" si="73"/>
        <v>19009395.423817348</v>
      </c>
      <c r="AA248" s="26">
        <v>9139483.8463669065</v>
      </c>
      <c r="AB248" s="26">
        <v>0</v>
      </c>
      <c r="AC248" s="26">
        <v>3475648.0455939346</v>
      </c>
      <c r="AD248" s="26">
        <v>3670997.5153139713</v>
      </c>
      <c r="AE248" s="26">
        <v>0</v>
      </c>
      <c r="AF248" s="26"/>
      <c r="AG248" s="26">
        <v>377673.60976489773</v>
      </c>
      <c r="AH248" s="26">
        <v>0</v>
      </c>
      <c r="AI248" s="26">
        <v>0</v>
      </c>
      <c r="AJ248" s="26">
        <v>0</v>
      </c>
      <c r="AK248" s="26">
        <v>0</v>
      </c>
      <c r="AL248" s="26">
        <v>0</v>
      </c>
      <c r="AM248" s="26">
        <v>1791094.8304623633</v>
      </c>
      <c r="AN248" s="31">
        <v>190093.95423817349</v>
      </c>
      <c r="AO248" s="32">
        <v>364403.6220770998</v>
      </c>
      <c r="AP248" s="77">
        <f>+N248-'Приложение №2'!E248</f>
        <v>0</v>
      </c>
      <c r="AQ248" s="1">
        <v>2180464.7799999998</v>
      </c>
      <c r="AR248" s="1">
        <f t="shared" si="79"/>
        <v>478318.8</v>
      </c>
      <c r="AS248" s="1">
        <f t="shared" si="80"/>
        <v>16881840</v>
      </c>
      <c r="AT248" s="28">
        <f t="shared" si="61"/>
        <v>-1123164.4723469671</v>
      </c>
      <c r="AU248" s="28">
        <f>+P248-'[6]Приложение №1'!$P245</f>
        <v>-257830.72999999998</v>
      </c>
      <c r="AV248" s="28">
        <f>+Q248-'[6]Приложение №1'!$Q245</f>
        <v>0</v>
      </c>
      <c r="AW248" s="28">
        <f>+R248-'[6]Приложение №1'!$R245</f>
        <v>0</v>
      </c>
      <c r="AX248" s="28">
        <f>+S248-'[6]Приложение №1'!$S245</f>
        <v>0</v>
      </c>
      <c r="AY248" s="28">
        <f>+T248-'[6]Приложение №1'!$T245</f>
        <v>0</v>
      </c>
    </row>
    <row r="249" spans="1:51" x14ac:dyDescent="0.25">
      <c r="A249" s="137">
        <f t="shared" si="65"/>
        <v>231</v>
      </c>
      <c r="B249" s="138">
        <f t="shared" si="66"/>
        <v>43</v>
      </c>
      <c r="C249" s="120" t="s">
        <v>81</v>
      </c>
      <c r="D249" s="120" t="s">
        <v>312</v>
      </c>
      <c r="E249" s="121" t="s">
        <v>108</v>
      </c>
      <c r="F249" s="121"/>
      <c r="G249" s="121" t="s">
        <v>43</v>
      </c>
      <c r="H249" s="121" t="s">
        <v>104</v>
      </c>
      <c r="I249" s="121" t="s">
        <v>101</v>
      </c>
      <c r="J249" s="107">
        <v>6626.4</v>
      </c>
      <c r="K249" s="107">
        <v>4862.3999999999996</v>
      </c>
      <c r="L249" s="107">
        <v>725.8</v>
      </c>
      <c r="M249" s="122">
        <v>218</v>
      </c>
      <c r="N249" s="133">
        <f t="shared" si="62"/>
        <v>10844684.448000001</v>
      </c>
      <c r="O249" s="107"/>
      <c r="P249" s="108"/>
      <c r="Q249" s="108"/>
      <c r="R249" s="108">
        <f t="shared" si="77"/>
        <v>4074235.28</v>
      </c>
      <c r="S249" s="108">
        <f>+'Приложение №2'!E249-'Приложение №1'!R249</f>
        <v>6770449.1680000015</v>
      </c>
      <c r="T249" s="108"/>
      <c r="U249" s="107"/>
      <c r="V249" s="107"/>
      <c r="W249" s="135">
        <v>2023</v>
      </c>
      <c r="X249" s="28"/>
      <c r="Z249" s="70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71"/>
      <c r="AO249" s="71"/>
      <c r="AP249" s="77">
        <f>+N249-'Приложение №2'!E249</f>
        <v>0</v>
      </c>
      <c r="AQ249" s="1">
        <v>3430207.28</v>
      </c>
      <c r="AR249" s="1">
        <f t="shared" si="79"/>
        <v>644028</v>
      </c>
      <c r="AS249" s="1">
        <f t="shared" si="80"/>
        <v>22730400</v>
      </c>
      <c r="AT249" s="28">
        <f t="shared" si="61"/>
        <v>-15959950.831999999</v>
      </c>
    </row>
    <row r="250" spans="1:51" x14ac:dyDescent="0.25">
      <c r="A250" s="137">
        <f t="shared" si="65"/>
        <v>232</v>
      </c>
      <c r="B250" s="138">
        <f t="shared" si="66"/>
        <v>44</v>
      </c>
      <c r="C250" s="120" t="s">
        <v>81</v>
      </c>
      <c r="D250" s="120" t="s">
        <v>313</v>
      </c>
      <c r="E250" s="121" t="s">
        <v>108</v>
      </c>
      <c r="F250" s="121"/>
      <c r="G250" s="121" t="s">
        <v>43</v>
      </c>
      <c r="H250" s="121" t="s">
        <v>104</v>
      </c>
      <c r="I250" s="121" t="s">
        <v>101</v>
      </c>
      <c r="J250" s="107">
        <v>6832.2</v>
      </c>
      <c r="K250" s="107">
        <v>5772.1</v>
      </c>
      <c r="L250" s="107">
        <v>17</v>
      </c>
      <c r="M250" s="122">
        <v>245</v>
      </c>
      <c r="N250" s="133">
        <f t="shared" si="62"/>
        <v>11234559.024000002</v>
      </c>
      <c r="O250" s="107"/>
      <c r="P250" s="108"/>
      <c r="Q250" s="108"/>
      <c r="R250" s="108">
        <f t="shared" si="77"/>
        <v>3768302.3099999996</v>
      </c>
      <c r="S250" s="108">
        <f>+'Приложение №2'!E250-'Приложение №1'!R250</f>
        <v>7466256.7140000025</v>
      </c>
      <c r="T250" s="108"/>
      <c r="U250" s="107"/>
      <c r="V250" s="107"/>
      <c r="W250" s="135">
        <v>2023</v>
      </c>
      <c r="X250" s="28"/>
      <c r="Z250" s="70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71"/>
      <c r="AO250" s="71"/>
      <c r="AP250" s="77">
        <f>+N250-'Приложение №2'!E250</f>
        <v>0</v>
      </c>
      <c r="AQ250" s="1">
        <v>3176080.11</v>
      </c>
      <c r="AR250" s="1">
        <f t="shared" si="79"/>
        <v>592222.19999999995</v>
      </c>
      <c r="AS250" s="1">
        <f t="shared" si="80"/>
        <v>20901960</v>
      </c>
      <c r="AT250" s="28">
        <f t="shared" si="61"/>
        <v>-13435703.285999998</v>
      </c>
    </row>
    <row r="251" spans="1:51" x14ac:dyDescent="0.25">
      <c r="A251" s="137">
        <f t="shared" si="65"/>
        <v>233</v>
      </c>
      <c r="B251" s="138">
        <f t="shared" si="66"/>
        <v>45</v>
      </c>
      <c r="C251" s="120" t="s">
        <v>81</v>
      </c>
      <c r="D251" s="120" t="s">
        <v>314</v>
      </c>
      <c r="E251" s="121">
        <v>1991</v>
      </c>
      <c r="F251" s="121">
        <v>2009</v>
      </c>
      <c r="G251" s="121" t="s">
        <v>83</v>
      </c>
      <c r="H251" s="121">
        <v>5</v>
      </c>
      <c r="I251" s="121">
        <v>2</v>
      </c>
      <c r="J251" s="107">
        <v>3315.2</v>
      </c>
      <c r="K251" s="107">
        <v>2614.6999999999998</v>
      </c>
      <c r="L251" s="107">
        <v>667.8</v>
      </c>
      <c r="M251" s="122">
        <v>88</v>
      </c>
      <c r="N251" s="123">
        <f t="shared" si="62"/>
        <v>3985720.2693774602</v>
      </c>
      <c r="O251" s="107"/>
      <c r="P251" s="108"/>
      <c r="Q251" s="108"/>
      <c r="R251" s="108">
        <f>+AQ251+AR251</f>
        <v>1774505.62</v>
      </c>
      <c r="S251" s="108">
        <f>+'Приложение №2'!E251-'Приложение №1'!R251</f>
        <v>2211214.6493774601</v>
      </c>
      <c r="T251" s="107">
        <f>+'Приложение №2'!E251-'Приложение №1'!P251-'Приложение №1'!Q251-'Приложение №1'!R251-'Приложение №1'!S251</f>
        <v>0</v>
      </c>
      <c r="U251" s="108">
        <f>$N251/($K251+$L251)</f>
        <v>1214.2331361393633</v>
      </c>
      <c r="V251" s="108">
        <f>$N251/($K251+$L251)</f>
        <v>1214.2331361393633</v>
      </c>
      <c r="W251" s="135">
        <v>2023</v>
      </c>
      <c r="X251" s="28" t="e">
        <f>+#REF!-'[1]Приложение №1'!$P982</f>
        <v>#REF!</v>
      </c>
      <c r="Z251" s="30">
        <f>SUM(AA251:AO251)</f>
        <v>5124059.0709295115</v>
      </c>
      <c r="AA251" s="26">
        <v>0</v>
      </c>
      <c r="AB251" s="26">
        <v>0</v>
      </c>
      <c r="AC251" s="26">
        <v>2132209.3029237217</v>
      </c>
      <c r="AD251" s="26">
        <v>2252050.5386283286</v>
      </c>
      <c r="AE251" s="26">
        <v>0</v>
      </c>
      <c r="AF251" s="26"/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6">
        <v>0</v>
      </c>
      <c r="AM251" s="26">
        <v>592683.75556044606</v>
      </c>
      <c r="AN251" s="31">
        <v>51240.590709295109</v>
      </c>
      <c r="AO251" s="32">
        <v>95874.88310771907</v>
      </c>
      <c r="AP251" s="77">
        <f>+N251-'Приложение №2'!E251</f>
        <v>0</v>
      </c>
      <c r="AQ251" s="1">
        <v>1371575.02</v>
      </c>
      <c r="AR251" s="1">
        <f>+(K251*10+L251*20)*12*0.85</f>
        <v>402930.6</v>
      </c>
      <c r="AS251" s="1">
        <f>+(K251*10+L251*20)*12*30</f>
        <v>14221080</v>
      </c>
      <c r="AT251" s="28">
        <f>+S251-AS251</f>
        <v>-12009865.35062254</v>
      </c>
    </row>
    <row r="252" spans="1:51" s="34" customFormat="1" x14ac:dyDescent="0.25">
      <c r="A252" s="137">
        <f t="shared" si="65"/>
        <v>234</v>
      </c>
      <c r="B252" s="138">
        <f t="shared" si="66"/>
        <v>46</v>
      </c>
      <c r="C252" s="120" t="s">
        <v>81</v>
      </c>
      <c r="D252" s="120" t="s">
        <v>315</v>
      </c>
      <c r="E252" s="121" t="s">
        <v>100</v>
      </c>
      <c r="F252" s="121"/>
      <c r="G252" s="121" t="s">
        <v>83</v>
      </c>
      <c r="H252" s="121" t="s">
        <v>94</v>
      </c>
      <c r="I252" s="121" t="s">
        <v>98</v>
      </c>
      <c r="J252" s="107">
        <v>3182.4</v>
      </c>
      <c r="K252" s="107">
        <v>2718.2</v>
      </c>
      <c r="L252" s="107">
        <v>0</v>
      </c>
      <c r="M252" s="122">
        <v>99</v>
      </c>
      <c r="N252" s="133">
        <f t="shared" si="62"/>
        <v>11280046.000319112</v>
      </c>
      <c r="O252" s="107">
        <v>0</v>
      </c>
      <c r="P252" s="108"/>
      <c r="Q252" s="108">
        <v>0</v>
      </c>
      <c r="R252" s="108">
        <f t="shared" si="77"/>
        <v>2054828.4956</v>
      </c>
      <c r="S252" s="108">
        <f>+'Приложение №2'!E252-'Приложение №1'!R252</f>
        <v>9225217.5047191121</v>
      </c>
      <c r="T252" s="108">
        <v>2.3283064365386963E-10</v>
      </c>
      <c r="U252" s="107">
        <f t="shared" ref="U252:V272" si="81">$N252/($K252+$L252)</f>
        <v>4149.8219411077598</v>
      </c>
      <c r="V252" s="107">
        <f t="shared" si="81"/>
        <v>4149.8219411077598</v>
      </c>
      <c r="W252" s="135">
        <v>2023</v>
      </c>
      <c r="X252" s="34">
        <v>1300878.49</v>
      </c>
      <c r="Y252" s="34">
        <f>+(K252*12.08+L252*20.47)*12</f>
        <v>394030.272</v>
      </c>
      <c r="AA252" s="35">
        <f>+N252-'[5]Приложение № 2'!E232</f>
        <v>10891200.950319111</v>
      </c>
      <c r="AD252" s="35">
        <f>+N252-'[5]Приложение № 2'!E232</f>
        <v>10891200.950319111</v>
      </c>
      <c r="AP252" s="77">
        <f>+N252-'Приложение №2'!E252</f>
        <v>0</v>
      </c>
      <c r="AQ252" s="34">
        <v>1686354.74</v>
      </c>
      <c r="AR252" s="1">
        <f>+(K252*13.29+L252*22.52)*12*0.85</f>
        <v>368473.75559999997</v>
      </c>
      <c r="AS252" s="1">
        <f>+(K252*13.29+L252*22.52)*12*30</f>
        <v>13004956.079999998</v>
      </c>
      <c r="AT252" s="28">
        <f t="shared" si="61"/>
        <v>-3779738.5752808861</v>
      </c>
      <c r="AU252" s="28">
        <f>+P252-'[6]Приложение №1'!$P246</f>
        <v>0</v>
      </c>
      <c r="AV252" s="28">
        <f>+Q252-'[6]Приложение №1'!$Q246</f>
        <v>0</v>
      </c>
      <c r="AW252" s="28">
        <f>+R252-'[6]Приложение №1'!$R246</f>
        <v>0</v>
      </c>
      <c r="AX252" s="28">
        <f>+S252-'[6]Приложение №1'!$S246</f>
        <v>0</v>
      </c>
      <c r="AY252" s="28">
        <f>+T252-'[6]Приложение №1'!$T246</f>
        <v>0</v>
      </c>
    </row>
    <row r="253" spans="1:51" x14ac:dyDescent="0.25">
      <c r="A253" s="137">
        <f t="shared" si="65"/>
        <v>235</v>
      </c>
      <c r="B253" s="138">
        <f t="shared" si="66"/>
        <v>47</v>
      </c>
      <c r="C253" s="120" t="s">
        <v>81</v>
      </c>
      <c r="D253" s="120" t="s">
        <v>316</v>
      </c>
      <c r="E253" s="121">
        <v>1990</v>
      </c>
      <c r="F253" s="121">
        <v>2017</v>
      </c>
      <c r="G253" s="121" t="s">
        <v>83</v>
      </c>
      <c r="H253" s="121">
        <v>9</v>
      </c>
      <c r="I253" s="121">
        <v>1</v>
      </c>
      <c r="J253" s="107">
        <v>3220.3</v>
      </c>
      <c r="K253" s="107">
        <v>2758.2</v>
      </c>
      <c r="L253" s="107">
        <v>90</v>
      </c>
      <c r="M253" s="122">
        <v>102</v>
      </c>
      <c r="N253" s="133">
        <f t="shared" si="62"/>
        <v>11736958.542351823</v>
      </c>
      <c r="O253" s="107"/>
      <c r="P253" s="108"/>
      <c r="Q253" s="108"/>
      <c r="R253" s="108">
        <f>+AQ253+AR253-659229.88</f>
        <v>1373583.9356</v>
      </c>
      <c r="S253" s="108">
        <f>+'Приложение №2'!E253-'Приложение №1'!R253</f>
        <v>10363374.606751824</v>
      </c>
      <c r="T253" s="108">
        <v>0</v>
      </c>
      <c r="U253" s="107">
        <f t="shared" si="81"/>
        <v>4120.8336993019539</v>
      </c>
      <c r="V253" s="107">
        <f t="shared" si="81"/>
        <v>4120.8336993019539</v>
      </c>
      <c r="W253" s="135">
        <v>2023</v>
      </c>
      <c r="X253" s="28" t="e">
        <f>+#REF!-'[1]Приложение №1'!$P983</f>
        <v>#REF!</v>
      </c>
      <c r="Z253" s="30">
        <f t="shared" ref="Z253:Z281" si="82">SUM(AA253:AO253)</f>
        <v>10585519.119685274</v>
      </c>
      <c r="AA253" s="26">
        <v>6602013.7682673624</v>
      </c>
      <c r="AB253" s="26"/>
      <c r="AC253" s="26">
        <v>1950958.4558916504</v>
      </c>
      <c r="AD253" s="26"/>
      <c r="AE253" s="26">
        <v>0</v>
      </c>
      <c r="AF253" s="26"/>
      <c r="AG253" s="26">
        <v>293318.25704611279</v>
      </c>
      <c r="AH253" s="26">
        <v>0</v>
      </c>
      <c r="AI253" s="26">
        <v>0</v>
      </c>
      <c r="AJ253" s="26">
        <v>0</v>
      </c>
      <c r="AK253" s="26">
        <v>0</v>
      </c>
      <c r="AL253" s="26">
        <v>0</v>
      </c>
      <c r="AM253" s="26">
        <v>1316014.3444465706</v>
      </c>
      <c r="AN253" s="31">
        <v>144737.06182413004</v>
      </c>
      <c r="AO253" s="32">
        <v>278477.23220944533</v>
      </c>
      <c r="AP253" s="77">
        <f>+N253-'Приложение №2'!E253</f>
        <v>0</v>
      </c>
      <c r="AQ253" s="1">
        <v>1638244.38</v>
      </c>
      <c r="AR253" s="1">
        <f>+(K253*13.29+L253*22.52)*12*0.85</f>
        <v>394569.43560000003</v>
      </c>
      <c r="AS253" s="1">
        <f>+(K253*13.29+L253*22.52)*12*30-'[9]КПКР 2021 оплата по источникам'!$BG$1185-'[9]КПКР 2021 оплата по источникам'!$BG$1187</f>
        <v>11927276.210000001</v>
      </c>
      <c r="AT253" s="28">
        <f t="shared" si="61"/>
        <v>-1563901.6032481771</v>
      </c>
      <c r="AU253" s="28">
        <f>+P253-'[6]Приложение №1'!$P247</f>
        <v>0</v>
      </c>
      <c r="AV253" s="28">
        <f>+Q253-'[6]Приложение №1'!$Q247</f>
        <v>0</v>
      </c>
      <c r="AW253" s="28">
        <f>+R253-'[6]Приложение №1'!$R247</f>
        <v>0</v>
      </c>
      <c r="AX253" s="28">
        <f>+S253-'[6]Приложение №1'!$S247</f>
        <v>0</v>
      </c>
      <c r="AY253" s="28">
        <f>+T253-'[6]Приложение №1'!$T247</f>
        <v>0</v>
      </c>
    </row>
    <row r="254" spans="1:51" x14ac:dyDescent="0.25">
      <c r="A254" s="137">
        <f t="shared" si="65"/>
        <v>236</v>
      </c>
      <c r="B254" s="138">
        <f t="shared" si="66"/>
        <v>48</v>
      </c>
      <c r="C254" s="120" t="s">
        <v>82</v>
      </c>
      <c r="D254" s="120" t="s">
        <v>297</v>
      </c>
      <c r="E254" s="121">
        <v>1995</v>
      </c>
      <c r="F254" s="121">
        <v>2007</v>
      </c>
      <c r="G254" s="121" t="s">
        <v>83</v>
      </c>
      <c r="H254" s="121">
        <v>9</v>
      </c>
      <c r="I254" s="121">
        <v>3</v>
      </c>
      <c r="J254" s="107">
        <v>8715.5</v>
      </c>
      <c r="K254" s="107">
        <v>7251.1</v>
      </c>
      <c r="L254" s="107">
        <v>660.9</v>
      </c>
      <c r="M254" s="122">
        <v>283</v>
      </c>
      <c r="N254" s="123">
        <f t="shared" si="62"/>
        <v>17694269.120000001</v>
      </c>
      <c r="O254" s="107"/>
      <c r="P254" s="110">
        <v>16600042.59</v>
      </c>
      <c r="Q254" s="110"/>
      <c r="R254" s="110">
        <v>1094226.53</v>
      </c>
      <c r="S254" s="108"/>
      <c r="T254" s="107"/>
      <c r="U254" s="108">
        <f t="shared" si="81"/>
        <v>2236.3838624873611</v>
      </c>
      <c r="V254" s="108">
        <f t="shared" si="81"/>
        <v>2236.3838624873611</v>
      </c>
      <c r="W254" s="135">
        <v>2023</v>
      </c>
      <c r="X254" s="28" t="e">
        <f>+#REF!-'[1]Приложение №1'!#REF!</f>
        <v>#REF!</v>
      </c>
      <c r="Z254" s="30">
        <f t="shared" si="82"/>
        <v>47583718.340731375</v>
      </c>
      <c r="AA254" s="26">
        <v>17694269.116222665</v>
      </c>
      <c r="AB254" s="26">
        <v>7079395.2241015183</v>
      </c>
      <c r="AC254" s="26">
        <v>5228826.4103661133</v>
      </c>
      <c r="AD254" s="26">
        <v>3341459.7872589645</v>
      </c>
      <c r="AE254" s="26">
        <v>0</v>
      </c>
      <c r="AF254" s="26"/>
      <c r="AG254" s="26">
        <v>786131.68027933023</v>
      </c>
      <c r="AH254" s="26">
        <v>0</v>
      </c>
      <c r="AI254" s="26">
        <v>7743707.0462670354</v>
      </c>
      <c r="AJ254" s="26">
        <v>0</v>
      </c>
      <c r="AK254" s="26">
        <v>0</v>
      </c>
      <c r="AL254" s="26">
        <v>0</v>
      </c>
      <c r="AM254" s="26">
        <v>4318396.9303716524</v>
      </c>
      <c r="AN254" s="31">
        <v>475837.18340731377</v>
      </c>
      <c r="AO254" s="32">
        <v>915694.96245678177</v>
      </c>
      <c r="AP254" s="77">
        <f>+N254-'Приложение №2'!E254</f>
        <v>0</v>
      </c>
      <c r="AR254" s="1">
        <f>+(K254*13.29+L254*22.52)*12*0.85</f>
        <v>1134755.9873999998</v>
      </c>
      <c r="AS254" s="1">
        <f>+(K254*13.29+L254*22.52)*12*30</f>
        <v>40050211.319999993</v>
      </c>
      <c r="AT254" s="28">
        <f t="shared" si="61"/>
        <v>-40050211.319999993</v>
      </c>
      <c r="AU254" s="28">
        <f>+P254-'[6]Приложение №1'!$P248</f>
        <v>0</v>
      </c>
      <c r="AV254" s="28">
        <f>+Q254-'[6]Приложение №1'!$Q248</f>
        <v>0</v>
      </c>
      <c r="AW254" s="28">
        <f>+R254-'[6]Приложение №1'!$R248</f>
        <v>0</v>
      </c>
      <c r="AX254" s="28">
        <f>+S254-'[6]Приложение №1'!$S248</f>
        <v>-15758968.917653034</v>
      </c>
      <c r="AY254" s="28">
        <f>+T254-'[6]Приложение №1'!$T248</f>
        <v>0</v>
      </c>
    </row>
    <row r="255" spans="1:51" x14ac:dyDescent="0.25">
      <c r="A255" s="137">
        <f t="shared" si="65"/>
        <v>237</v>
      </c>
      <c r="B255" s="138">
        <f t="shared" si="66"/>
        <v>49</v>
      </c>
      <c r="C255" s="120" t="s">
        <v>70</v>
      </c>
      <c r="D255" s="120" t="s">
        <v>268</v>
      </c>
      <c r="E255" s="121">
        <v>1997</v>
      </c>
      <c r="F255" s="121">
        <v>2013</v>
      </c>
      <c r="G255" s="121" t="s">
        <v>43</v>
      </c>
      <c r="H255" s="121">
        <v>3</v>
      </c>
      <c r="I255" s="121">
        <v>2</v>
      </c>
      <c r="J255" s="107">
        <v>1304.7</v>
      </c>
      <c r="K255" s="107">
        <v>938.6</v>
      </c>
      <c r="L255" s="107">
        <v>0</v>
      </c>
      <c r="M255" s="122">
        <v>33</v>
      </c>
      <c r="N255" s="133">
        <f t="shared" si="62"/>
        <v>9483523.7207000013</v>
      </c>
      <c r="O255" s="107"/>
      <c r="P255" s="108">
        <v>2237553.1866666698</v>
      </c>
      <c r="Q255" s="108"/>
      <c r="R255" s="108">
        <f>+AQ255+AR255</f>
        <v>561433.66999999993</v>
      </c>
      <c r="S255" s="108">
        <f>+AS255</f>
        <v>3378960</v>
      </c>
      <c r="T255" s="108">
        <f>+'Приложение №2'!E255-'Приложение №1'!P255-'Приложение №1'!R255-'Приложение №1'!S255</f>
        <v>3305576.8640333321</v>
      </c>
      <c r="U255" s="107">
        <f t="shared" si="81"/>
        <v>10103.90338877051</v>
      </c>
      <c r="V255" s="107">
        <f t="shared" si="81"/>
        <v>10103.90338877051</v>
      </c>
      <c r="W255" s="135">
        <v>2023</v>
      </c>
      <c r="X255" s="28" t="e">
        <f>+#REF!-'[1]Приложение №1'!$P1314</f>
        <v>#REF!</v>
      </c>
      <c r="Z255" s="30">
        <f t="shared" si="82"/>
        <v>10655644.630000001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/>
      <c r="AG255" s="26">
        <v>0</v>
      </c>
      <c r="AH255" s="26">
        <v>0</v>
      </c>
      <c r="AI255" s="26">
        <v>0</v>
      </c>
      <c r="AJ255" s="26">
        <v>0</v>
      </c>
      <c r="AK255" s="26">
        <v>9280576.3130770214</v>
      </c>
      <c r="AL255" s="26">
        <v>0</v>
      </c>
      <c r="AM255" s="26">
        <v>1065564.4630000002</v>
      </c>
      <c r="AN255" s="31">
        <v>106556.44630000001</v>
      </c>
      <c r="AO255" s="32">
        <v>202947.40762298004</v>
      </c>
      <c r="AP255" s="77">
        <f>+N255-'Приложение №2'!E255</f>
        <v>0</v>
      </c>
      <c r="AQ255" s="1">
        <v>465696.47</v>
      </c>
      <c r="AR255" s="1">
        <f>+(K255*10+L255*20)*12*0.85</f>
        <v>95737.2</v>
      </c>
      <c r="AS255" s="1">
        <f>+(K255*10+L255*20)*12*30</f>
        <v>3378960</v>
      </c>
      <c r="AT255" s="28">
        <f t="shared" si="61"/>
        <v>0</v>
      </c>
      <c r="AU255" s="28">
        <f>+P255-'[6]Приложение №1'!$P249</f>
        <v>0</v>
      </c>
      <c r="AV255" s="28">
        <f>+Q255-'[6]Приложение №1'!$Q249</f>
        <v>0</v>
      </c>
      <c r="AW255" s="28">
        <f>+R255-'[6]Приложение №1'!$R249</f>
        <v>0</v>
      </c>
      <c r="AX255" s="28">
        <f>+S255-'[6]Приложение №1'!$S249</f>
        <v>0</v>
      </c>
      <c r="AY255" s="28">
        <f>+T255-'[6]Приложение №1'!$T249</f>
        <v>0</v>
      </c>
    </row>
    <row r="256" spans="1:51" x14ac:dyDescent="0.25">
      <c r="A256" s="137">
        <f t="shared" si="65"/>
        <v>238</v>
      </c>
      <c r="B256" s="138">
        <f t="shared" si="66"/>
        <v>50</v>
      </c>
      <c r="C256" s="120" t="s">
        <v>70</v>
      </c>
      <c r="D256" s="120" t="s">
        <v>265</v>
      </c>
      <c r="E256" s="121">
        <v>1995</v>
      </c>
      <c r="F256" s="121">
        <v>2013</v>
      </c>
      <c r="G256" s="121" t="s">
        <v>43</v>
      </c>
      <c r="H256" s="121">
        <v>3</v>
      </c>
      <c r="I256" s="121">
        <v>4</v>
      </c>
      <c r="J256" s="107">
        <v>2740.5</v>
      </c>
      <c r="K256" s="107">
        <v>1849.2</v>
      </c>
      <c r="L256" s="107">
        <v>0</v>
      </c>
      <c r="M256" s="122">
        <v>67</v>
      </c>
      <c r="N256" s="133">
        <f t="shared" si="62"/>
        <v>18608626.178600002</v>
      </c>
      <c r="O256" s="107"/>
      <c r="P256" s="108">
        <v>906857.51333330001</v>
      </c>
      <c r="Q256" s="108"/>
      <c r="R256" s="108">
        <f>+AR256</f>
        <v>188618.4</v>
      </c>
      <c r="S256" s="108">
        <f>+AS256</f>
        <v>1070733.2310399991</v>
      </c>
      <c r="T256" s="108">
        <f>+'Приложение №2'!E256-'Приложение №1'!P256-'Приложение №1'!R256-'Приложение №1'!S256</f>
        <v>16442417.034226703</v>
      </c>
      <c r="U256" s="107">
        <f t="shared" si="81"/>
        <v>10063.068450465067</v>
      </c>
      <c r="V256" s="107">
        <f t="shared" si="81"/>
        <v>10063.068450465067</v>
      </c>
      <c r="W256" s="135">
        <v>2023</v>
      </c>
      <c r="X256" s="28" t="e">
        <f>+#REF!-'[1]Приложение №1'!$P1315</f>
        <v>#REF!</v>
      </c>
      <c r="Z256" s="30">
        <f t="shared" si="82"/>
        <v>20908568.739999998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/>
      <c r="AG256" s="26">
        <v>0</v>
      </c>
      <c r="AH256" s="26">
        <v>0</v>
      </c>
      <c r="AI256" s="26">
        <v>0</v>
      </c>
      <c r="AJ256" s="26">
        <v>0</v>
      </c>
      <c r="AK256" s="26">
        <v>18210401.578377958</v>
      </c>
      <c r="AL256" s="26">
        <v>0</v>
      </c>
      <c r="AM256" s="26">
        <v>2090856.8739999998</v>
      </c>
      <c r="AN256" s="31">
        <v>209085.6874</v>
      </c>
      <c r="AO256" s="32">
        <v>398224.60022203997</v>
      </c>
      <c r="AP256" s="77">
        <f>+N256-'Приложение №2'!E256</f>
        <v>0</v>
      </c>
      <c r="AQ256" s="1">
        <v>908516.69</v>
      </c>
      <c r="AR256" s="1">
        <f>+(K256*10+L256*20)*12*0.85</f>
        <v>188618.4</v>
      </c>
      <c r="AS256" s="1">
        <f>+(K256*10+L256*20)*12*30-S21</f>
        <v>1070733.2310399991</v>
      </c>
      <c r="AT256" s="28">
        <f t="shared" si="61"/>
        <v>0</v>
      </c>
      <c r="AU256" s="28">
        <f>+P256-'[6]Приложение №1'!$P250</f>
        <v>0</v>
      </c>
      <c r="AV256" s="28">
        <f>+Q256-'[6]Приложение №1'!$Q250</f>
        <v>0</v>
      </c>
      <c r="AW256" s="28">
        <f>+R256-'[6]Приложение №1'!$R250</f>
        <v>0</v>
      </c>
      <c r="AX256" s="28">
        <f>+S256-'[6]Приложение №1'!$S250</f>
        <v>-1677153.8516666666</v>
      </c>
      <c r="AY256" s="28">
        <f>+T256-'[6]Приложение №1'!$T250</f>
        <v>1677153.8516666666</v>
      </c>
    </row>
    <row r="257" spans="1:51" x14ac:dyDescent="0.25">
      <c r="A257" s="137">
        <f t="shared" si="65"/>
        <v>239</v>
      </c>
      <c r="B257" s="138">
        <f t="shared" si="66"/>
        <v>51</v>
      </c>
      <c r="C257" s="120" t="s">
        <v>81</v>
      </c>
      <c r="D257" s="120" t="s">
        <v>277</v>
      </c>
      <c r="E257" s="121">
        <v>1996</v>
      </c>
      <c r="F257" s="121">
        <v>1996</v>
      </c>
      <c r="G257" s="121" t="s">
        <v>83</v>
      </c>
      <c r="H257" s="121">
        <v>9</v>
      </c>
      <c r="I257" s="121">
        <v>2</v>
      </c>
      <c r="J257" s="107">
        <v>5868.8</v>
      </c>
      <c r="K257" s="107">
        <v>4891.1000000000004</v>
      </c>
      <c r="L257" s="107">
        <v>103.4</v>
      </c>
      <c r="M257" s="122">
        <v>176</v>
      </c>
      <c r="N257" s="133">
        <f t="shared" si="62"/>
        <v>3609894.245787648</v>
      </c>
      <c r="O257" s="107"/>
      <c r="P257" s="108"/>
      <c r="Q257" s="108"/>
      <c r="R257" s="108">
        <v>0</v>
      </c>
      <c r="S257" s="108">
        <f>+'Приложение №2'!E257-'Приложение №1'!R257</f>
        <v>3609894.245787648</v>
      </c>
      <c r="T257" s="108">
        <v>0</v>
      </c>
      <c r="U257" s="107">
        <f t="shared" si="81"/>
        <v>722.77390044802246</v>
      </c>
      <c r="V257" s="107">
        <f t="shared" si="81"/>
        <v>722.77390044802246</v>
      </c>
      <c r="W257" s="135">
        <v>2023</v>
      </c>
      <c r="X257" s="28" t="e">
        <f>+#REF!-'[1]Приложение №1'!$P1445</f>
        <v>#REF!</v>
      </c>
      <c r="Z257" s="30">
        <f t="shared" si="82"/>
        <v>26916272.679462254</v>
      </c>
      <c r="AA257" s="26">
        <v>11954408.568709729</v>
      </c>
      <c r="AB257" s="26">
        <v>4782903.5702124871</v>
      </c>
      <c r="AC257" s="26">
        <v>3532642.5089277923</v>
      </c>
      <c r="AD257" s="26">
        <v>2257520.5141524919</v>
      </c>
      <c r="AE257" s="26">
        <v>0</v>
      </c>
      <c r="AF257" s="26"/>
      <c r="AG257" s="26">
        <v>531117.68749178003</v>
      </c>
      <c r="AH257" s="26">
        <v>0</v>
      </c>
      <c r="AI257" s="26"/>
      <c r="AJ257" s="26">
        <v>0</v>
      </c>
      <c r="AK257" s="26">
        <v>0</v>
      </c>
      <c r="AL257" s="26">
        <v>0</v>
      </c>
      <c r="AM257" s="26">
        <v>2917548.1015033424</v>
      </c>
      <c r="AN257" s="31">
        <v>321479.91337035975</v>
      </c>
      <c r="AO257" s="32">
        <v>618651.81509427261</v>
      </c>
      <c r="AP257" s="77">
        <f>+N257-'Приложение №2'!E257</f>
        <v>0</v>
      </c>
      <c r="AQ257" s="28">
        <f>3041149.84-R28</f>
        <v>125049.93999999994</v>
      </c>
      <c r="AR257" s="1">
        <f>+(K257*13.29+L257*22.52)*12*0.85</f>
        <v>686779.12739999988</v>
      </c>
      <c r="AS257" s="1">
        <f>+(K257*13.29+L257*22.52)*12*30-2665031.47-S28</f>
        <v>18333982.144178148</v>
      </c>
      <c r="AT257" s="28">
        <f t="shared" si="61"/>
        <v>-14724087.8983905</v>
      </c>
      <c r="AU257" s="28">
        <f>+P257-'[6]Приложение №1'!$P251</f>
        <v>0</v>
      </c>
      <c r="AV257" s="28">
        <f>+Q257-'[6]Приложение №1'!$Q251</f>
        <v>0</v>
      </c>
      <c r="AW257" s="28">
        <f>+R257-'[6]Приложение №1'!$R251</f>
        <v>0</v>
      </c>
      <c r="AX257" s="28">
        <f>+S257-'[6]Приложение №1'!$S251</f>
        <v>0</v>
      </c>
      <c r="AY257" s="28">
        <f>+T257-'[6]Приложение №1'!$T251</f>
        <v>0</v>
      </c>
    </row>
    <row r="258" spans="1:51" x14ac:dyDescent="0.25">
      <c r="A258" s="137">
        <f t="shared" si="65"/>
        <v>240</v>
      </c>
      <c r="B258" s="138">
        <f t="shared" si="66"/>
        <v>52</v>
      </c>
      <c r="C258" s="120" t="s">
        <v>81</v>
      </c>
      <c r="D258" s="120" t="s">
        <v>317</v>
      </c>
      <c r="E258" s="121">
        <v>1991</v>
      </c>
      <c r="F258" s="121">
        <v>2011</v>
      </c>
      <c r="G258" s="121" t="s">
        <v>83</v>
      </c>
      <c r="H258" s="121">
        <v>9</v>
      </c>
      <c r="I258" s="121">
        <v>1</v>
      </c>
      <c r="J258" s="107">
        <v>2848.2</v>
      </c>
      <c r="K258" s="107">
        <v>2372.6999999999998</v>
      </c>
      <c r="L258" s="107">
        <v>100.6</v>
      </c>
      <c r="M258" s="122">
        <v>61</v>
      </c>
      <c r="N258" s="133">
        <f t="shared" si="62"/>
        <v>2085412.7608436176</v>
      </c>
      <c r="O258" s="107"/>
      <c r="P258" s="108"/>
      <c r="Q258" s="108"/>
      <c r="R258" s="108">
        <f t="shared" ref="R258:R266" si="83">+AQ258+AR258</f>
        <v>734493.91899999999</v>
      </c>
      <c r="S258" s="108">
        <f>+'Приложение №2'!E258-'Приложение №1'!R258</f>
        <v>1350918.8418436176</v>
      </c>
      <c r="T258" s="108">
        <v>0</v>
      </c>
      <c r="U258" s="107">
        <f t="shared" si="81"/>
        <v>843.17016166401891</v>
      </c>
      <c r="V258" s="107">
        <f t="shared" si="81"/>
        <v>843.17016166401891</v>
      </c>
      <c r="W258" s="135">
        <v>2023</v>
      </c>
      <c r="X258" s="28" t="e">
        <f>+#REF!-'[1]Приложение №1'!$P1335</f>
        <v>#REF!</v>
      </c>
      <c r="Z258" s="30">
        <f t="shared" si="82"/>
        <v>9685484.1454348229</v>
      </c>
      <c r="AA258" s="26">
        <v>6420381.7111990321</v>
      </c>
      <c r="AB258" s="26">
        <v>0</v>
      </c>
      <c r="AC258" s="26">
        <v>1897284.4391391145</v>
      </c>
      <c r="AD258" s="26">
        <v>0</v>
      </c>
      <c r="AE258" s="26">
        <v>0</v>
      </c>
      <c r="AF258" s="26"/>
      <c r="AG258" s="26">
        <v>285248.59826123505</v>
      </c>
      <c r="AH258" s="26">
        <v>0</v>
      </c>
      <c r="AI258" s="26">
        <v>0</v>
      </c>
      <c r="AJ258" s="26">
        <v>0</v>
      </c>
      <c r="AK258" s="26">
        <v>0</v>
      </c>
      <c r="AL258" s="26">
        <v>0</v>
      </c>
      <c r="AM258" s="26">
        <v>797586.23367659084</v>
      </c>
      <c r="AN258" s="31">
        <v>96854.841454348236</v>
      </c>
      <c r="AO258" s="32">
        <v>188128.32170450315</v>
      </c>
      <c r="AP258" s="77">
        <f>+N258-'Приложение №2'!E258</f>
        <v>0</v>
      </c>
      <c r="AQ258" s="1">
        <f>1575336.79-1185589.56</f>
        <v>389747.23</v>
      </c>
      <c r="AR258" s="1">
        <f>+(K258*13.29+L258*22.52)*12*0.85</f>
        <v>344746.68899999995</v>
      </c>
      <c r="AS258" s="1">
        <f>+(K258*13.29+L258*22.52)*12*30</f>
        <v>12167530.199999999</v>
      </c>
      <c r="AT258" s="28">
        <f t="shared" si="61"/>
        <v>-10816611.358156381</v>
      </c>
      <c r="AU258" s="28">
        <f>+P258-'[6]Приложение №1'!$P252</f>
        <v>0</v>
      </c>
      <c r="AV258" s="28">
        <f>+Q258-'[6]Приложение №1'!$Q252</f>
        <v>0</v>
      </c>
      <c r="AW258" s="28">
        <f>+R258-'[6]Приложение №1'!$R252</f>
        <v>0</v>
      </c>
      <c r="AX258" s="28">
        <f>+S258-'[6]Приложение №1'!$S252</f>
        <v>0</v>
      </c>
      <c r="AY258" s="28">
        <f>+T258-'[6]Приложение №1'!$T252</f>
        <v>0</v>
      </c>
    </row>
    <row r="259" spans="1:51" x14ac:dyDescent="0.25">
      <c r="A259" s="137">
        <f t="shared" si="65"/>
        <v>241</v>
      </c>
      <c r="B259" s="138">
        <f t="shared" si="66"/>
        <v>53</v>
      </c>
      <c r="C259" s="120" t="s">
        <v>81</v>
      </c>
      <c r="D259" s="120" t="s">
        <v>318</v>
      </c>
      <c r="E259" s="121">
        <v>1995</v>
      </c>
      <c r="F259" s="121">
        <v>1995</v>
      </c>
      <c r="G259" s="121" t="s">
        <v>83</v>
      </c>
      <c r="H259" s="121">
        <v>10</v>
      </c>
      <c r="I259" s="121">
        <v>1</v>
      </c>
      <c r="J259" s="107">
        <v>3279.6</v>
      </c>
      <c r="K259" s="107">
        <v>2806.4</v>
      </c>
      <c r="L259" s="107">
        <v>0</v>
      </c>
      <c r="M259" s="122">
        <v>105</v>
      </c>
      <c r="N259" s="133">
        <f t="shared" si="62"/>
        <v>19703004.987476178</v>
      </c>
      <c r="O259" s="107"/>
      <c r="P259" s="108">
        <v>3772182.5490253926</v>
      </c>
      <c r="Q259" s="108"/>
      <c r="R259" s="108">
        <f t="shared" si="83"/>
        <v>1023686.0467999999</v>
      </c>
      <c r="S259" s="108">
        <f>+AS259</f>
        <v>7481735.5199999977</v>
      </c>
      <c r="T259" s="108">
        <f>+'Приложение №2'!E259-'Приложение №1'!P259-'Приложение №1'!R259-'Приложение №1'!S259</f>
        <v>7425400.8716507871</v>
      </c>
      <c r="U259" s="107">
        <f t="shared" si="81"/>
        <v>7020.7400896081017</v>
      </c>
      <c r="V259" s="107">
        <f t="shared" si="81"/>
        <v>7020.7400896081017</v>
      </c>
      <c r="W259" s="135">
        <v>2023</v>
      </c>
      <c r="X259" s="28" t="e">
        <f>+#REF!-'[1]Приложение №1'!$P1340</f>
        <v>#REF!</v>
      </c>
      <c r="Z259" s="30">
        <f t="shared" si="82"/>
        <v>19818033.247476179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/>
      <c r="AG259" s="26">
        <v>0</v>
      </c>
      <c r="AH259" s="26">
        <v>0</v>
      </c>
      <c r="AI259" s="26">
        <v>0</v>
      </c>
      <c r="AJ259" s="26">
        <v>0</v>
      </c>
      <c r="AK259" s="26">
        <v>19266518.528552189</v>
      </c>
      <c r="AL259" s="26">
        <v>0</v>
      </c>
      <c r="AM259" s="26">
        <v>106194.98</v>
      </c>
      <c r="AN259" s="26">
        <v>24000</v>
      </c>
      <c r="AO259" s="32">
        <v>421319.73892399028</v>
      </c>
      <c r="AP259" s="77">
        <f>+N259-'Приложение №2'!E259</f>
        <v>0</v>
      </c>
      <c r="AQ259" s="1">
        <f>1651544.69-504144.3-504144.3144</f>
        <v>643256.07559999987</v>
      </c>
      <c r="AR259" s="1">
        <f>+(K259*13.29+L259*22.52)*12*0.85</f>
        <v>380429.97119999997</v>
      </c>
      <c r="AS259" s="1">
        <f>+(K259*13.29+L259*22.52)*12*30-3285777.08-2659427.56</f>
        <v>7481735.5199999977</v>
      </c>
      <c r="AT259" s="28">
        <f t="shared" si="61"/>
        <v>0</v>
      </c>
      <c r="AU259" s="28">
        <f>+P259-'[6]Приложение №1'!$P253</f>
        <v>0</v>
      </c>
      <c r="AV259" s="28">
        <f>+Q259-'[6]Приложение №1'!$Q253</f>
        <v>0</v>
      </c>
      <c r="AW259" s="28">
        <f>+R259-'[6]Приложение №1'!$R253</f>
        <v>0</v>
      </c>
      <c r="AX259" s="28">
        <f>+S259-'[6]Приложение №1'!$S253</f>
        <v>0</v>
      </c>
      <c r="AY259" s="28">
        <f>+T259-'[6]Приложение №1'!$T253</f>
        <v>0</v>
      </c>
    </row>
    <row r="260" spans="1:51" x14ac:dyDescent="0.25">
      <c r="A260" s="137">
        <f t="shared" si="65"/>
        <v>242</v>
      </c>
      <c r="B260" s="138">
        <f t="shared" si="66"/>
        <v>54</v>
      </c>
      <c r="C260" s="120" t="s">
        <v>81</v>
      </c>
      <c r="D260" s="120" t="s">
        <v>294</v>
      </c>
      <c r="E260" s="121">
        <v>1986</v>
      </c>
      <c r="F260" s="121">
        <v>2013</v>
      </c>
      <c r="G260" s="121" t="s">
        <v>83</v>
      </c>
      <c r="H260" s="121">
        <v>5</v>
      </c>
      <c r="I260" s="121">
        <v>3</v>
      </c>
      <c r="J260" s="107">
        <v>4428.3999999999996</v>
      </c>
      <c r="K260" s="107">
        <v>3725.8</v>
      </c>
      <c r="L260" s="107">
        <v>0</v>
      </c>
      <c r="M260" s="122">
        <v>153</v>
      </c>
      <c r="N260" s="123">
        <f t="shared" si="62"/>
        <v>1521914.1614287239</v>
      </c>
      <c r="O260" s="107"/>
      <c r="P260" s="108"/>
      <c r="Q260" s="108"/>
      <c r="R260" s="108"/>
      <c r="S260" s="108">
        <f>+'Приложение №2'!E260-'Приложение №1'!P260-'Приложение №1'!R260</f>
        <v>1521914.1614287239</v>
      </c>
      <c r="T260" s="107">
        <f>+'Приложение №2'!E260-'Приложение №1'!P260-'Приложение №1'!Q260-'Приложение №1'!R260-'Приложение №1'!S260</f>
        <v>0</v>
      </c>
      <c r="U260" s="108">
        <f t="shared" si="81"/>
        <v>408.47983290265819</v>
      </c>
      <c r="V260" s="108">
        <f t="shared" si="81"/>
        <v>408.47983290265819</v>
      </c>
      <c r="W260" s="135">
        <v>2023</v>
      </c>
      <c r="X260" s="28" t="e">
        <f>+#REF!-'[1]Приложение №1'!$P1564</f>
        <v>#REF!</v>
      </c>
      <c r="Z260" s="30">
        <f t="shared" ref="Z260" si="84">SUM(AA260:AO260)</f>
        <v>12150273.237424361</v>
      </c>
      <c r="AA260" s="26">
        <v>7382843.4652546057</v>
      </c>
      <c r="AB260" s="26">
        <v>0</v>
      </c>
      <c r="AC260" s="26">
        <v>0</v>
      </c>
      <c r="AD260" s="26">
        <v>2979436.7931330968</v>
      </c>
      <c r="AE260" s="26">
        <v>0</v>
      </c>
      <c r="AF260" s="26"/>
      <c r="AG260" s="26">
        <v>306525.58168040245</v>
      </c>
      <c r="AH260" s="26">
        <v>0</v>
      </c>
      <c r="AI260" s="26">
        <v>0</v>
      </c>
      <c r="AJ260" s="26">
        <v>0</v>
      </c>
      <c r="AK260" s="26">
        <v>0</v>
      </c>
      <c r="AL260" s="26">
        <v>0</v>
      </c>
      <c r="AM260" s="26">
        <v>1126659.4892437549</v>
      </c>
      <c r="AN260" s="31">
        <v>121502.73237424361</v>
      </c>
      <c r="AO260" s="32">
        <v>233305.17573825616</v>
      </c>
      <c r="AP260" s="77">
        <f>+N260-'Приложение №2'!E260</f>
        <v>0</v>
      </c>
      <c r="AQ260" s="28">
        <f>1864228.53-R45</f>
        <v>-380031.59999999986</v>
      </c>
      <c r="AR260" s="1">
        <f t="shared" ref="AR260" si="85">+(K260*10+L260*20)*12*0.85</f>
        <v>380031.6</v>
      </c>
      <c r="AS260" s="1">
        <f>+(K260*10+L260*20)*12*30-S45</f>
        <v>10354704.498571277</v>
      </c>
      <c r="AT260" s="28">
        <f t="shared" si="61"/>
        <v>-8832790.3371425532</v>
      </c>
    </row>
    <row r="261" spans="1:51" x14ac:dyDescent="0.25">
      <c r="A261" s="137">
        <f t="shared" si="65"/>
        <v>243</v>
      </c>
      <c r="B261" s="138">
        <f t="shared" si="66"/>
        <v>55</v>
      </c>
      <c r="C261" s="120" t="s">
        <v>81</v>
      </c>
      <c r="D261" s="120" t="s">
        <v>226</v>
      </c>
      <c r="E261" s="121">
        <v>1995</v>
      </c>
      <c r="F261" s="121">
        <v>2002</v>
      </c>
      <c r="G261" s="121" t="s">
        <v>83</v>
      </c>
      <c r="H261" s="121">
        <v>10</v>
      </c>
      <c r="I261" s="121">
        <v>1</v>
      </c>
      <c r="J261" s="107">
        <v>3274.9</v>
      </c>
      <c r="K261" s="107">
        <v>3274.9</v>
      </c>
      <c r="L261" s="107">
        <v>0</v>
      </c>
      <c r="M261" s="122">
        <v>107</v>
      </c>
      <c r="N261" s="133">
        <f t="shared" si="62"/>
        <v>7890001.6978085171</v>
      </c>
      <c r="O261" s="107"/>
      <c r="P261" s="108"/>
      <c r="Q261" s="108"/>
      <c r="R261" s="108">
        <f t="shared" si="83"/>
        <v>1883122.0537999999</v>
      </c>
      <c r="S261" s="108">
        <f>+'Приложение №2'!E261-'Приложение №1'!R261</f>
        <v>6006879.6440085173</v>
      </c>
      <c r="T261" s="108">
        <v>0</v>
      </c>
      <c r="U261" s="107">
        <f t="shared" si="81"/>
        <v>2409.234388167125</v>
      </c>
      <c r="V261" s="107">
        <f t="shared" si="81"/>
        <v>2409.234388167125</v>
      </c>
      <c r="W261" s="135">
        <v>2023</v>
      </c>
      <c r="X261" s="28" t="e">
        <f>+#REF!-'[1]Приложение №1'!$P1348</f>
        <v>#REF!</v>
      </c>
      <c r="Z261" s="30">
        <f t="shared" si="82"/>
        <v>13763058.555082263</v>
      </c>
      <c r="AA261" s="26">
        <v>6414391.2079975698</v>
      </c>
      <c r="AB261" s="26">
        <v>0</v>
      </c>
      <c r="AC261" s="26">
        <v>0</v>
      </c>
      <c r="AD261" s="26">
        <v>1211320.4642977021</v>
      </c>
      <c r="AE261" s="26">
        <v>0</v>
      </c>
      <c r="AF261" s="26"/>
      <c r="AG261" s="26">
        <v>0</v>
      </c>
      <c r="AH261" s="26">
        <v>0</v>
      </c>
      <c r="AI261" s="26">
        <v>0</v>
      </c>
      <c r="AJ261" s="26">
        <v>4459999.4943992067</v>
      </c>
      <c r="AK261" s="26">
        <v>0</v>
      </c>
      <c r="AL261" s="26">
        <v>0</v>
      </c>
      <c r="AM261" s="26">
        <v>1275426.7773237173</v>
      </c>
      <c r="AN261" s="31">
        <v>137630.58555082261</v>
      </c>
      <c r="AO261" s="32">
        <v>264290.02551324526</v>
      </c>
      <c r="AP261" s="77">
        <f>+N261-'Приложение №2'!E261</f>
        <v>0</v>
      </c>
      <c r="AQ261" s="1">
        <f>2154157.37-126729.3148-588244.8956</f>
        <v>1439183.1595999999</v>
      </c>
      <c r="AR261" s="1">
        <f>+(K261*13.29+L261*22.52)*12*0.85</f>
        <v>443938.89419999992</v>
      </c>
      <c r="AS261" s="1">
        <f>+(K261*13.29+L261*22.52)*12*30-1139379.7452-2540032.37</f>
        <v>11989019.444799997</v>
      </c>
      <c r="AT261" s="28">
        <f t="shared" si="61"/>
        <v>-5982139.8007914796</v>
      </c>
      <c r="AU261" s="28">
        <f>+P261-'[6]Приложение №1'!$P254</f>
        <v>-16600042.59</v>
      </c>
      <c r="AV261" s="28">
        <f>+Q261-'[6]Приложение №1'!$Q254</f>
        <v>0</v>
      </c>
      <c r="AW261" s="28">
        <f>+R261-'[6]Приложение №1'!$R254</f>
        <v>0</v>
      </c>
      <c r="AX261" s="28">
        <f>+S261-'[6]Приложение №1'!$S254</f>
        <v>0</v>
      </c>
      <c r="AY261" s="28">
        <f>+T261-'[6]Приложение №1'!$T254</f>
        <v>0</v>
      </c>
    </row>
    <row r="262" spans="1:51" x14ac:dyDescent="0.25">
      <c r="A262" s="137">
        <f t="shared" si="65"/>
        <v>244</v>
      </c>
      <c r="B262" s="138">
        <f t="shared" si="66"/>
        <v>56</v>
      </c>
      <c r="C262" s="120" t="s">
        <v>81</v>
      </c>
      <c r="D262" s="120" t="s">
        <v>198</v>
      </c>
      <c r="E262" s="121">
        <v>1983</v>
      </c>
      <c r="F262" s="121">
        <v>2015</v>
      </c>
      <c r="G262" s="121" t="s">
        <v>83</v>
      </c>
      <c r="H262" s="121">
        <v>5</v>
      </c>
      <c r="I262" s="121">
        <v>4</v>
      </c>
      <c r="J262" s="107">
        <v>4471.8999999999996</v>
      </c>
      <c r="K262" s="107">
        <v>3791</v>
      </c>
      <c r="L262" s="107">
        <v>256.8</v>
      </c>
      <c r="M262" s="122">
        <v>156</v>
      </c>
      <c r="N262" s="133">
        <f t="shared" si="62"/>
        <v>11172353.687432691</v>
      </c>
      <c r="O262" s="107"/>
      <c r="P262" s="108"/>
      <c r="Q262" s="108"/>
      <c r="R262" s="108">
        <f t="shared" si="83"/>
        <v>2235221.37</v>
      </c>
      <c r="S262" s="108">
        <f>+'Приложение №2'!E262-'Приложение №1'!R262</f>
        <v>8937132.3174326904</v>
      </c>
      <c r="T262" s="108">
        <v>9.3132257461547852E-10</v>
      </c>
      <c r="U262" s="107">
        <f t="shared" si="81"/>
        <v>2760.1051651348116</v>
      </c>
      <c r="V262" s="107">
        <f t="shared" si="81"/>
        <v>2760.1051651348116</v>
      </c>
      <c r="W262" s="135">
        <v>2023</v>
      </c>
      <c r="X262" s="28" t="e">
        <f>+#REF!-'[1]Приложение №1'!$P1349</f>
        <v>#REF!</v>
      </c>
      <c r="Z262" s="30">
        <f t="shared" si="82"/>
        <v>12482547.809364174</v>
      </c>
      <c r="AA262" s="26">
        <v>7789654.8248060504</v>
      </c>
      <c r="AB262" s="26">
        <v>0</v>
      </c>
      <c r="AC262" s="26">
        <v>0</v>
      </c>
      <c r="AD262" s="26">
        <v>3143610.4937155819</v>
      </c>
      <c r="AE262" s="26">
        <v>0</v>
      </c>
      <c r="AF262" s="26"/>
      <c r="AG262" s="26">
        <v>0</v>
      </c>
      <c r="AH262" s="26">
        <v>0</v>
      </c>
      <c r="AI262" s="26">
        <v>0</v>
      </c>
      <c r="AJ262" s="26">
        <v>0</v>
      </c>
      <c r="AK262" s="26">
        <v>0</v>
      </c>
      <c r="AL262" s="26">
        <v>0</v>
      </c>
      <c r="AM262" s="26">
        <v>1185368.6438378405</v>
      </c>
      <c r="AN262" s="31">
        <v>124825.47809364174</v>
      </c>
      <c r="AO262" s="32">
        <v>239088.3689110596</v>
      </c>
      <c r="AP262" s="77">
        <f>+N262-'Приложение №2'!E262</f>
        <v>0</v>
      </c>
      <c r="AQ262" s="1">
        <v>1796152.17</v>
      </c>
      <c r="AR262" s="1">
        <f t="shared" ref="AR262:AR274" si="86">+(K262*10+L262*20)*12*0.85</f>
        <v>439069.2</v>
      </c>
      <c r="AS262" s="1">
        <f>+(K262*10+L262*20)*12*30</f>
        <v>15496560</v>
      </c>
      <c r="AT262" s="28">
        <f t="shared" si="61"/>
        <v>-6559427.6825673096</v>
      </c>
      <c r="AU262" s="28">
        <f>+P262-'[6]Приложение №1'!$P255</f>
        <v>-2237553.186666667</v>
      </c>
      <c r="AV262" s="28">
        <f>+Q262-'[6]Приложение №1'!$Q255</f>
        <v>0</v>
      </c>
      <c r="AW262" s="28">
        <f>+R262-'[6]Приложение №1'!$R255</f>
        <v>0</v>
      </c>
      <c r="AX262" s="28">
        <f>+S262-'[6]Приложение №1'!$S255</f>
        <v>0</v>
      </c>
      <c r="AY262" s="28">
        <f>+T262-'[6]Приложение №1'!$T255</f>
        <v>0</v>
      </c>
    </row>
    <row r="263" spans="1:51" x14ac:dyDescent="0.25">
      <c r="A263" s="137">
        <f t="shared" si="65"/>
        <v>245</v>
      </c>
      <c r="B263" s="138">
        <f t="shared" si="66"/>
        <v>57</v>
      </c>
      <c r="C263" s="120" t="s">
        <v>81</v>
      </c>
      <c r="D263" s="120" t="s">
        <v>319</v>
      </c>
      <c r="E263" s="121">
        <v>1983</v>
      </c>
      <c r="F263" s="121">
        <v>2015</v>
      </c>
      <c r="G263" s="121" t="s">
        <v>83</v>
      </c>
      <c r="H263" s="121">
        <v>5</v>
      </c>
      <c r="I263" s="121">
        <v>3</v>
      </c>
      <c r="J263" s="107">
        <v>5101.8</v>
      </c>
      <c r="K263" s="107">
        <v>4226.1000000000004</v>
      </c>
      <c r="L263" s="107">
        <v>155.6</v>
      </c>
      <c r="M263" s="122">
        <v>188</v>
      </c>
      <c r="N263" s="133">
        <f t="shared" si="62"/>
        <v>12298370.967827702</v>
      </c>
      <c r="O263" s="107"/>
      <c r="P263" s="108"/>
      <c r="Q263" s="108"/>
      <c r="R263" s="108">
        <f t="shared" si="83"/>
        <v>2554358.16</v>
      </c>
      <c r="S263" s="108">
        <f>+'Приложение №2'!E263-'Приложение №1'!R263</f>
        <v>9744012.8078277018</v>
      </c>
      <c r="T263" s="108">
        <v>0</v>
      </c>
      <c r="U263" s="107">
        <f t="shared" si="81"/>
        <v>2806.7578720194674</v>
      </c>
      <c r="V263" s="107">
        <f t="shared" si="81"/>
        <v>2806.7578720194674</v>
      </c>
      <c r="W263" s="135">
        <v>2023</v>
      </c>
      <c r="X263" s="28" t="e">
        <f>+#REF!-'[1]Приложение №1'!$P1350</f>
        <v>#REF!</v>
      </c>
      <c r="Z263" s="30">
        <f t="shared" si="82"/>
        <v>13740614.36632535</v>
      </c>
      <c r="AA263" s="26">
        <v>8574743.2839111742</v>
      </c>
      <c r="AB263" s="26">
        <v>0</v>
      </c>
      <c r="AC263" s="26">
        <v>0</v>
      </c>
      <c r="AD263" s="26">
        <v>3460442.5452050162</v>
      </c>
      <c r="AE263" s="26">
        <v>0</v>
      </c>
      <c r="AF263" s="26"/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6">
        <v>0</v>
      </c>
      <c r="AM263" s="26">
        <v>1304837.2548343944</v>
      </c>
      <c r="AN263" s="31">
        <v>137406.14366325352</v>
      </c>
      <c r="AO263" s="32">
        <v>263185.13871151285</v>
      </c>
      <c r="AP263" s="77">
        <f>+N263-'Приложение №2'!E263</f>
        <v>0</v>
      </c>
      <c r="AQ263" s="1">
        <v>2091553.56</v>
      </c>
      <c r="AR263" s="1">
        <f t="shared" si="86"/>
        <v>462804.6</v>
      </c>
      <c r="AS263" s="1">
        <f>+(K263*10+L263*20)*12*30</f>
        <v>16334280</v>
      </c>
      <c r="AT263" s="28">
        <f t="shared" si="61"/>
        <v>-6590267.1921722982</v>
      </c>
      <c r="AU263" s="28">
        <f>+P263-'[6]Приложение №1'!$P256</f>
        <v>-906857.51333330001</v>
      </c>
      <c r="AV263" s="28">
        <f>+Q263-'[6]Приложение №1'!$Q256</f>
        <v>0</v>
      </c>
      <c r="AW263" s="28">
        <f>+R263-'[6]Приложение №1'!$R256</f>
        <v>0</v>
      </c>
      <c r="AX263" s="28">
        <f>+S263-'[6]Приложение №1'!$S256</f>
        <v>0</v>
      </c>
      <c r="AY263" s="28">
        <f>+T263-'[6]Приложение №1'!$T256</f>
        <v>0</v>
      </c>
    </row>
    <row r="264" spans="1:51" x14ac:dyDescent="0.25">
      <c r="A264" s="137">
        <f t="shared" si="65"/>
        <v>246</v>
      </c>
      <c r="B264" s="138">
        <f t="shared" si="66"/>
        <v>58</v>
      </c>
      <c r="C264" s="120" t="s">
        <v>81</v>
      </c>
      <c r="D264" s="120" t="s">
        <v>320</v>
      </c>
      <c r="E264" s="121">
        <v>1982</v>
      </c>
      <c r="F264" s="121">
        <v>2008</v>
      </c>
      <c r="G264" s="121" t="s">
        <v>83</v>
      </c>
      <c r="H264" s="121">
        <v>5</v>
      </c>
      <c r="I264" s="121">
        <v>7</v>
      </c>
      <c r="J264" s="107">
        <v>6399.1</v>
      </c>
      <c r="K264" s="107">
        <v>4849.8999999999996</v>
      </c>
      <c r="L264" s="107">
        <v>814.5</v>
      </c>
      <c r="M264" s="122">
        <v>218</v>
      </c>
      <c r="N264" s="133">
        <f t="shared" si="62"/>
        <v>15830114.837610561</v>
      </c>
      <c r="O264" s="107"/>
      <c r="P264" s="108"/>
      <c r="Q264" s="108"/>
      <c r="R264" s="108">
        <f t="shared" si="83"/>
        <v>2890759.6999999997</v>
      </c>
      <c r="S264" s="108">
        <f>+'Приложение №2'!E264-'Приложение №1'!R264</f>
        <v>12939355.137610562</v>
      </c>
      <c r="T264" s="108">
        <v>0</v>
      </c>
      <c r="U264" s="107">
        <f t="shared" si="81"/>
        <v>2794.6675442430906</v>
      </c>
      <c r="V264" s="107">
        <f t="shared" si="81"/>
        <v>2794.6675442430906</v>
      </c>
      <c r="W264" s="135">
        <v>2023</v>
      </c>
      <c r="X264" s="28" t="e">
        <f>+#REF!-'[1]Приложение №1'!$P1355</f>
        <v>#REF!</v>
      </c>
      <c r="Z264" s="30">
        <f t="shared" si="82"/>
        <v>16411893.353984796</v>
      </c>
      <c r="AA264" s="26">
        <v>10225965.426698405</v>
      </c>
      <c r="AB264" s="26">
        <v>0</v>
      </c>
      <c r="AC264" s="26">
        <v>3907208.0564832622</v>
      </c>
      <c r="AD264" s="26">
        <v>0</v>
      </c>
      <c r="AE264" s="26">
        <v>0</v>
      </c>
      <c r="AF264" s="26"/>
      <c r="AG264" s="26">
        <v>424568.12411291135</v>
      </c>
      <c r="AH264" s="26">
        <v>0</v>
      </c>
      <c r="AI264" s="26">
        <v>0</v>
      </c>
      <c r="AJ264" s="26">
        <v>0</v>
      </c>
      <c r="AK264" s="26">
        <v>0</v>
      </c>
      <c r="AL264" s="26">
        <v>0</v>
      </c>
      <c r="AM264" s="26">
        <v>1371684.4886090811</v>
      </c>
      <c r="AN264" s="31">
        <v>164118.93353984796</v>
      </c>
      <c r="AO264" s="32">
        <v>318348.32454128755</v>
      </c>
      <c r="AP264" s="77">
        <f>+N264-'Приложение №2'!E264</f>
        <v>0</v>
      </c>
      <c r="AQ264" s="1">
        <v>2229911.9</v>
      </c>
      <c r="AR264" s="1">
        <f t="shared" si="86"/>
        <v>660847.79999999993</v>
      </c>
      <c r="AS264" s="1">
        <f>+(K264*10+L264*20)*12*30</f>
        <v>23324040</v>
      </c>
      <c r="AT264" s="28">
        <f t="shared" si="61"/>
        <v>-10384684.862389438</v>
      </c>
      <c r="AU264" s="28">
        <f>+P264-'[6]Приложение №1'!$P257</f>
        <v>0</v>
      </c>
      <c r="AV264" s="28">
        <f>+Q264-'[6]Приложение №1'!$Q257</f>
        <v>0</v>
      </c>
      <c r="AW264" s="28">
        <f>+R264-'[6]Приложение №1'!$R257</f>
        <v>0</v>
      </c>
      <c r="AX264" s="28">
        <f>+S264-'[6]Приложение №1'!$S257</f>
        <v>0</v>
      </c>
      <c r="AY264" s="28">
        <f>+T264-'[6]Приложение №1'!$T257</f>
        <v>0</v>
      </c>
    </row>
    <row r="265" spans="1:51" x14ac:dyDescent="0.25">
      <c r="A265" s="137">
        <f t="shared" si="65"/>
        <v>247</v>
      </c>
      <c r="B265" s="138">
        <f t="shared" si="66"/>
        <v>59</v>
      </c>
      <c r="C265" s="120" t="s">
        <v>51</v>
      </c>
      <c r="D265" s="120" t="s">
        <v>220</v>
      </c>
      <c r="E265" s="121">
        <v>1979</v>
      </c>
      <c r="F265" s="121">
        <v>2013</v>
      </c>
      <c r="G265" s="121" t="s">
        <v>43</v>
      </c>
      <c r="H265" s="121">
        <v>5</v>
      </c>
      <c r="I265" s="121">
        <v>4</v>
      </c>
      <c r="J265" s="107">
        <v>2793.1</v>
      </c>
      <c r="K265" s="107">
        <v>2468.5</v>
      </c>
      <c r="L265" s="107">
        <v>86.9</v>
      </c>
      <c r="M265" s="122">
        <v>97</v>
      </c>
      <c r="N265" s="133">
        <f t="shared" si="62"/>
        <v>2251512.1387999998</v>
      </c>
      <c r="O265" s="107"/>
      <c r="P265" s="108"/>
      <c r="Q265" s="108"/>
      <c r="R265" s="108">
        <f t="shared" si="83"/>
        <v>1302890.54</v>
      </c>
      <c r="S265" s="108">
        <f>+'Приложение №2'!E265-'Приложение №1'!R265</f>
        <v>948621.5987999998</v>
      </c>
      <c r="T265" s="108">
        <v>0</v>
      </c>
      <c r="U265" s="107">
        <f t="shared" si="81"/>
        <v>881.08012005948183</v>
      </c>
      <c r="V265" s="107">
        <f t="shared" si="81"/>
        <v>881.08012005948183</v>
      </c>
      <c r="W265" s="135">
        <v>2023</v>
      </c>
      <c r="X265" s="28" t="e">
        <f>+#REF!-'[1]Приложение №1'!$P617</f>
        <v>#REF!</v>
      </c>
      <c r="Z265" s="30">
        <f t="shared" si="82"/>
        <v>2529788.92</v>
      </c>
      <c r="AA265" s="26">
        <v>0</v>
      </c>
      <c r="AB265" s="26">
        <v>0</v>
      </c>
      <c r="AC265" s="26">
        <v>2203329.77902968</v>
      </c>
      <c r="AD265" s="26">
        <v>0</v>
      </c>
      <c r="AE265" s="26">
        <v>0</v>
      </c>
      <c r="AF265" s="26"/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6">
        <v>0</v>
      </c>
      <c r="AM265" s="26">
        <v>252978.89199999999</v>
      </c>
      <c r="AN265" s="31">
        <v>25297.889200000001</v>
      </c>
      <c r="AO265" s="32">
        <v>48182.359770319999</v>
      </c>
      <c r="AP265" s="77">
        <f>+N265-'Приложение №2'!E265</f>
        <v>0</v>
      </c>
      <c r="AQ265" s="1">
        <v>1033375.94</v>
      </c>
      <c r="AR265" s="1">
        <f t="shared" si="86"/>
        <v>269514.59999999998</v>
      </c>
      <c r="AS265" s="1">
        <f>+(K265*10+L265*20)*12*30</f>
        <v>9512280</v>
      </c>
      <c r="AT265" s="28">
        <f t="shared" si="61"/>
        <v>-8563658.4012000002</v>
      </c>
      <c r="AU265" s="28">
        <f>+P265-'[6]Приложение №1'!$P258</f>
        <v>0</v>
      </c>
      <c r="AV265" s="28">
        <f>+Q265-'[6]Приложение №1'!$Q258</f>
        <v>0</v>
      </c>
      <c r="AW265" s="28">
        <f>+R265-'[6]Приложение №1'!$R258</f>
        <v>0</v>
      </c>
      <c r="AX265" s="28">
        <f>+S265-'[6]Приложение №1'!$S258</f>
        <v>0</v>
      </c>
      <c r="AY265" s="28">
        <f>+T265-'[6]Приложение №1'!$T258</f>
        <v>0</v>
      </c>
    </row>
    <row r="266" spans="1:51" x14ac:dyDescent="0.25">
      <c r="A266" s="137">
        <f t="shared" si="65"/>
        <v>248</v>
      </c>
      <c r="B266" s="138">
        <f t="shared" si="66"/>
        <v>60</v>
      </c>
      <c r="C266" s="120" t="s">
        <v>51</v>
      </c>
      <c r="D266" s="120" t="s">
        <v>247</v>
      </c>
      <c r="E266" s="121">
        <v>1991</v>
      </c>
      <c r="F266" s="121">
        <v>2016</v>
      </c>
      <c r="G266" s="121" t="s">
        <v>83</v>
      </c>
      <c r="H266" s="121">
        <v>5</v>
      </c>
      <c r="I266" s="121">
        <v>4</v>
      </c>
      <c r="J266" s="107">
        <v>4887.3</v>
      </c>
      <c r="K266" s="107">
        <v>4825.5</v>
      </c>
      <c r="L266" s="107">
        <v>0</v>
      </c>
      <c r="M266" s="122">
        <v>240</v>
      </c>
      <c r="N266" s="133">
        <f t="shared" si="62"/>
        <v>3102944.9011479998</v>
      </c>
      <c r="O266" s="107"/>
      <c r="P266" s="108"/>
      <c r="Q266" s="108"/>
      <c r="R266" s="108">
        <f t="shared" si="83"/>
        <v>2337821.67</v>
      </c>
      <c r="S266" s="108">
        <f>+'Приложение №2'!E266-'Приложение №1'!R266</f>
        <v>765123.23114799988</v>
      </c>
      <c r="T266" s="108">
        <f>+'Приложение №2'!E266-'Приложение №1'!P266-'Приложение №1'!Q266-'Приложение №1'!R266-'Приложение №1'!S266</f>
        <v>0</v>
      </c>
      <c r="U266" s="107">
        <f t="shared" si="81"/>
        <v>643.03075352771725</v>
      </c>
      <c r="V266" s="107">
        <f t="shared" si="81"/>
        <v>643.03075352771725</v>
      </c>
      <c r="W266" s="135">
        <v>2023</v>
      </c>
      <c r="X266" s="28" t="e">
        <f>+#REF!-'[1]Приложение №1'!$P1182</f>
        <v>#REF!</v>
      </c>
      <c r="Z266" s="30">
        <f t="shared" si="82"/>
        <v>16330841.699999999</v>
      </c>
      <c r="AA266" s="26">
        <v>0</v>
      </c>
      <c r="AB266" s="26">
        <v>0</v>
      </c>
      <c r="AC266" s="26">
        <v>0</v>
      </c>
      <c r="AD266" s="26">
        <v>0</v>
      </c>
      <c r="AE266" s="26">
        <v>0</v>
      </c>
      <c r="AF266" s="26"/>
      <c r="AG266" s="26">
        <v>0</v>
      </c>
      <c r="AH266" s="26">
        <v>0</v>
      </c>
      <c r="AI266" s="26">
        <v>15836071.998851998</v>
      </c>
      <c r="AJ266" s="26">
        <v>0</v>
      </c>
      <c r="AK266" s="26">
        <v>0</v>
      </c>
      <c r="AL266" s="26">
        <v>0</v>
      </c>
      <c r="AM266" s="26">
        <v>101648.88</v>
      </c>
      <c r="AN266" s="26">
        <v>46818</v>
      </c>
      <c r="AO266" s="32">
        <v>346302.82114799996</v>
      </c>
      <c r="AP266" s="77">
        <f>+N266-'Приложение №2'!E266</f>
        <v>0</v>
      </c>
      <c r="AQ266" s="1">
        <v>1845620.67</v>
      </c>
      <c r="AR266" s="1">
        <f t="shared" si="86"/>
        <v>492201</v>
      </c>
      <c r="AS266" s="1">
        <f>+(K266*10+L266*20)*12*30</f>
        <v>17371800</v>
      </c>
      <c r="AT266" s="28">
        <f t="shared" si="61"/>
        <v>-16606676.768851999</v>
      </c>
      <c r="AU266" s="28">
        <f>+P266-'[6]Приложение №1'!$P259</f>
        <v>-3772182.5490253926</v>
      </c>
      <c r="AV266" s="28">
        <f>+Q266-'[6]Приложение №1'!$Q259</f>
        <v>0</v>
      </c>
      <c r="AW266" s="28">
        <f>+R266-'[6]Приложение №1'!$R259</f>
        <v>0</v>
      </c>
      <c r="AX266" s="28">
        <f>+S266-'[6]Приложение №1'!$S259</f>
        <v>0</v>
      </c>
      <c r="AY266" s="28">
        <f>+T266-'[6]Приложение №1'!$T259</f>
        <v>0</v>
      </c>
    </row>
    <row r="267" spans="1:51" x14ac:dyDescent="0.25">
      <c r="A267" s="137">
        <f t="shared" si="65"/>
        <v>249</v>
      </c>
      <c r="B267" s="138">
        <f t="shared" si="66"/>
        <v>61</v>
      </c>
      <c r="C267" s="120" t="s">
        <v>51</v>
      </c>
      <c r="D267" s="120" t="s">
        <v>380</v>
      </c>
      <c r="E267" s="121">
        <v>1999</v>
      </c>
      <c r="F267" s="121">
        <v>2011</v>
      </c>
      <c r="G267" s="121" t="s">
        <v>43</v>
      </c>
      <c r="H267" s="121">
        <v>4</v>
      </c>
      <c r="I267" s="121">
        <v>3</v>
      </c>
      <c r="J267" s="107">
        <v>1789.4</v>
      </c>
      <c r="K267" s="107">
        <v>1789.4</v>
      </c>
      <c r="L267" s="107">
        <v>0</v>
      </c>
      <c r="M267" s="122">
        <v>56</v>
      </c>
      <c r="N267" s="133">
        <f t="shared" si="62"/>
        <v>1283744.6199999999</v>
      </c>
      <c r="O267" s="107"/>
      <c r="P267" s="108"/>
      <c r="Q267" s="108"/>
      <c r="R267" s="108">
        <f>+AR267</f>
        <v>182518.8</v>
      </c>
      <c r="S267" s="108">
        <f>+AS267</f>
        <v>0</v>
      </c>
      <c r="T267" s="108">
        <f>+'Приложение №2'!E267-'Приложение №1'!P267-'Приложение №1'!Q267-'Приложение №1'!R267-'Приложение №1'!S267</f>
        <v>1101225.8199999998</v>
      </c>
      <c r="U267" s="107">
        <f t="shared" si="81"/>
        <v>717.41624008047381</v>
      </c>
      <c r="V267" s="107">
        <f t="shared" si="81"/>
        <v>717.41624008047381</v>
      </c>
      <c r="W267" s="135">
        <v>2023</v>
      </c>
      <c r="X267" s="28" t="e">
        <f>+#REF!-'[1]Приложение №1'!$P1233</f>
        <v>#REF!</v>
      </c>
      <c r="Z267" s="30">
        <f t="shared" si="82"/>
        <v>15155840.090000002</v>
      </c>
      <c r="AA267" s="26">
        <v>3843679.5940452004</v>
      </c>
      <c r="AB267" s="26">
        <v>0</v>
      </c>
      <c r="AC267" s="26">
        <v>1430991.0437205599</v>
      </c>
      <c r="AD267" s="26">
        <v>895890.8758312799</v>
      </c>
      <c r="AE267" s="26">
        <v>0</v>
      </c>
      <c r="AF267" s="26"/>
      <c r="AG267" s="26">
        <v>147492.512475</v>
      </c>
      <c r="AH267" s="26">
        <v>0</v>
      </c>
      <c r="AI267" s="26">
        <v>7026831.1230768003</v>
      </c>
      <c r="AJ267" s="26">
        <v>0</v>
      </c>
      <c r="AK267" s="26">
        <v>0</v>
      </c>
      <c r="AL267" s="26">
        <v>0</v>
      </c>
      <c r="AM267" s="26">
        <v>1367570.9297000002</v>
      </c>
      <c r="AN267" s="31">
        <v>151558.40090000001</v>
      </c>
      <c r="AO267" s="32">
        <v>291825.61025115999</v>
      </c>
      <c r="AP267" s="77">
        <f>+N267-'Приложение №2'!E267</f>
        <v>0</v>
      </c>
      <c r="AQ267" s="28">
        <f>725047.53-R56</f>
        <v>-164367.46999999997</v>
      </c>
      <c r="AR267" s="1">
        <f t="shared" si="86"/>
        <v>182518.8</v>
      </c>
      <c r="AS267" s="1">
        <f>+(K267*10+L267*20)*12*30-S56</f>
        <v>0</v>
      </c>
      <c r="AT267" s="28">
        <f t="shared" si="61"/>
        <v>0</v>
      </c>
      <c r="AU267" s="28">
        <f>+P267-'[6]Приложение №1'!$P260</f>
        <v>0</v>
      </c>
      <c r="AV267" s="28">
        <f>+Q267-'[6]Приложение №1'!$Q260</f>
        <v>0</v>
      </c>
      <c r="AW267" s="28">
        <f>+R267-'[6]Приложение №1'!$R260</f>
        <v>0</v>
      </c>
      <c r="AX267" s="28">
        <f>+S267-'[6]Приложение №1'!$S260</f>
        <v>-238135.03436800186</v>
      </c>
      <c r="AY267" s="28">
        <f>+T267-'[6]Приложение №1'!$T260</f>
        <v>238135.03436800186</v>
      </c>
    </row>
    <row r="268" spans="1:51" x14ac:dyDescent="0.25">
      <c r="A268" s="137">
        <f t="shared" si="65"/>
        <v>250</v>
      </c>
      <c r="B268" s="138">
        <f t="shared" si="66"/>
        <v>62</v>
      </c>
      <c r="C268" s="120" t="s">
        <v>51</v>
      </c>
      <c r="D268" s="120" t="s">
        <v>384</v>
      </c>
      <c r="E268" s="121">
        <v>1986</v>
      </c>
      <c r="F268" s="121">
        <v>2013</v>
      </c>
      <c r="G268" s="121" t="s">
        <v>83</v>
      </c>
      <c r="H268" s="121">
        <v>4</v>
      </c>
      <c r="I268" s="121">
        <v>2</v>
      </c>
      <c r="J268" s="107">
        <v>3830.7</v>
      </c>
      <c r="K268" s="107">
        <v>3476.2</v>
      </c>
      <c r="L268" s="107">
        <v>0</v>
      </c>
      <c r="M268" s="122">
        <v>146</v>
      </c>
      <c r="N268" s="133">
        <f t="shared" si="62"/>
        <v>5063521.8790189996</v>
      </c>
      <c r="O268" s="107"/>
      <c r="P268" s="108">
        <v>2840886.23</v>
      </c>
      <c r="Q268" s="108"/>
      <c r="R268" s="108">
        <v>101111.17</v>
      </c>
      <c r="S268" s="108"/>
      <c r="T268" s="107">
        <f>+'Приложение №2'!E268-'Приложение №1'!P268-'Приложение №1'!Q268-'Приложение №1'!R268-'Приложение №1'!S268</f>
        <v>2121524.4790189997</v>
      </c>
      <c r="U268" s="108">
        <f t="shared" si="81"/>
        <v>1456.6255908805592</v>
      </c>
      <c r="V268" s="108">
        <f t="shared" si="81"/>
        <v>1456.6255908805592</v>
      </c>
      <c r="W268" s="135">
        <v>2023</v>
      </c>
      <c r="X268" s="28" t="e">
        <f>+#REF!-'[1]Приложение №1'!$P1017</f>
        <v>#REF!</v>
      </c>
      <c r="Z268" s="30">
        <f t="shared" si="82"/>
        <v>63545858.419999994</v>
      </c>
      <c r="AA268" s="26">
        <v>5818965.56459946</v>
      </c>
      <c r="AB268" s="26">
        <v>3365266.8627295201</v>
      </c>
      <c r="AC268" s="26">
        <v>3557336.2493503802</v>
      </c>
      <c r="AD268" s="26">
        <v>2712499.1287925998</v>
      </c>
      <c r="AE268" s="26">
        <v>1083587.8791200402</v>
      </c>
      <c r="AF268" s="26"/>
      <c r="AG268" s="26">
        <v>289142.86613099999</v>
      </c>
      <c r="AH268" s="26">
        <v>0</v>
      </c>
      <c r="AI268" s="26">
        <v>10358644.6581282</v>
      </c>
      <c r="AJ268" s="26">
        <v>0</v>
      </c>
      <c r="AK268" s="26">
        <v>20111367.36101808</v>
      </c>
      <c r="AL268" s="26">
        <v>7909542.8401185004</v>
      </c>
      <c r="AM268" s="26">
        <v>6496795.2884999998</v>
      </c>
      <c r="AN268" s="31">
        <v>635458.58420000004</v>
      </c>
      <c r="AO268" s="32">
        <v>1207251.1373122202</v>
      </c>
      <c r="AP268" s="77">
        <f>+N268-'Приложение №2'!E268</f>
        <v>0</v>
      </c>
      <c r="AQ268" s="28">
        <f>1393126.98-102965.87-R60</f>
        <v>-448445.6100000001</v>
      </c>
      <c r="AR268" s="1">
        <f t="shared" si="86"/>
        <v>354572.39999999997</v>
      </c>
      <c r="AS268" s="1">
        <f>+(K268*10+L268*20)*12*30-S60</f>
        <v>0</v>
      </c>
      <c r="AT268" s="28">
        <f t="shared" si="61"/>
        <v>0</v>
      </c>
      <c r="AU268" s="28">
        <f>+P268-'[6]Приложение №1'!$P261</f>
        <v>-6272272.6190189999</v>
      </c>
      <c r="AV268" s="28">
        <f>+Q268-'[6]Приложение №1'!$Q261</f>
        <v>0</v>
      </c>
      <c r="AW268" s="28">
        <f>+R268-'[6]Приложение №1'!$R261</f>
        <v>-171768.78000000003</v>
      </c>
      <c r="AX268" s="28">
        <f>+S268-'[6]Приложение №1'!$S261</f>
        <v>-2039289.68</v>
      </c>
      <c r="AY268" s="28">
        <f>+T268-'[6]Приложение №1'!$T261</f>
        <v>2121524.4790189997</v>
      </c>
    </row>
    <row r="269" spans="1:51" x14ac:dyDescent="0.25">
      <c r="A269" s="137">
        <f t="shared" si="65"/>
        <v>251</v>
      </c>
      <c r="B269" s="138">
        <f t="shared" si="66"/>
        <v>63</v>
      </c>
      <c r="C269" s="120" t="s">
        <v>51</v>
      </c>
      <c r="D269" s="120" t="s">
        <v>381</v>
      </c>
      <c r="E269" s="121">
        <v>1995</v>
      </c>
      <c r="F269" s="121">
        <v>2013</v>
      </c>
      <c r="G269" s="121" t="s">
        <v>83</v>
      </c>
      <c r="H269" s="121">
        <v>5</v>
      </c>
      <c r="I269" s="121">
        <v>4</v>
      </c>
      <c r="J269" s="107">
        <v>4929.5</v>
      </c>
      <c r="K269" s="107">
        <v>4328.8999999999996</v>
      </c>
      <c r="L269" s="107">
        <v>0</v>
      </c>
      <c r="M269" s="122">
        <v>159</v>
      </c>
      <c r="N269" s="133">
        <f t="shared" si="62"/>
        <v>4526101.9687000001</v>
      </c>
      <c r="O269" s="107"/>
      <c r="P269" s="108"/>
      <c r="Q269" s="108"/>
      <c r="R269" s="108">
        <f>+AQ269+AR269</f>
        <v>1488007.09</v>
      </c>
      <c r="S269" s="108">
        <f>+'Приложение №2'!E269-'Приложение №1'!R269</f>
        <v>3038094.8787000002</v>
      </c>
      <c r="T269" s="108">
        <v>0</v>
      </c>
      <c r="U269" s="107">
        <f t="shared" si="81"/>
        <v>1045.5547526392388</v>
      </c>
      <c r="V269" s="107">
        <f t="shared" si="81"/>
        <v>1045.5547526392388</v>
      </c>
      <c r="W269" s="135">
        <v>2023</v>
      </c>
      <c r="X269" s="28" t="e">
        <f>+#REF!-'[1]Приложение №1'!$P1236</f>
        <v>#REF!</v>
      </c>
      <c r="Z269" s="30">
        <f t="shared" si="82"/>
        <v>77122932.980000004</v>
      </c>
      <c r="AA269" s="26">
        <v>7245200.61515796</v>
      </c>
      <c r="AB269" s="26">
        <v>4190097.5862702606</v>
      </c>
      <c r="AC269" s="26">
        <v>4429243.3865698203</v>
      </c>
      <c r="AD269" s="26">
        <v>3377335.7392437602</v>
      </c>
      <c r="AE269" s="26">
        <v>0</v>
      </c>
      <c r="AF269" s="26"/>
      <c r="AG269" s="26">
        <v>360012.11029559997</v>
      </c>
      <c r="AH269" s="26">
        <v>0</v>
      </c>
      <c r="AI269" s="26">
        <v>12897560.1974562</v>
      </c>
      <c r="AJ269" s="26">
        <v>0</v>
      </c>
      <c r="AK269" s="26">
        <v>25040686.283834342</v>
      </c>
      <c r="AL269" s="26">
        <v>9848180.7538505998</v>
      </c>
      <c r="AM269" s="26">
        <v>7489740.9763000011</v>
      </c>
      <c r="AN269" s="31">
        <v>771229.32980000007</v>
      </c>
      <c r="AO269" s="32">
        <v>1473646.0012214603</v>
      </c>
      <c r="AP269" s="77">
        <f>+N269-'Приложение №2'!E269</f>
        <v>0</v>
      </c>
      <c r="AQ269" s="28">
        <f>1948762.98-R57</f>
        <v>1046459.29</v>
      </c>
      <c r="AR269" s="1">
        <f t="shared" si="86"/>
        <v>441547.8</v>
      </c>
      <c r="AS269" s="1">
        <f>+(K269*10+L269*20)*12*30-S57</f>
        <v>8602058.2485374007</v>
      </c>
      <c r="AT269" s="28">
        <f t="shared" si="61"/>
        <v>-5563963.3698374005</v>
      </c>
      <c r="AU269" s="28">
        <f>+P269-'[6]Приложение №1'!$P262</f>
        <v>0</v>
      </c>
      <c r="AV269" s="28">
        <f>+Q269-'[6]Приложение №1'!$Q262</f>
        <v>0</v>
      </c>
      <c r="AW269" s="28">
        <f>+R269-'[6]Приложение №1'!$R262</f>
        <v>0</v>
      </c>
      <c r="AX269" s="28">
        <f>+S269-'[6]Приложение №1'!$S262</f>
        <v>0</v>
      </c>
      <c r="AY269" s="28">
        <f>+T269-'[6]Приложение №1'!$T262</f>
        <v>0</v>
      </c>
    </row>
    <row r="270" spans="1:51" x14ac:dyDescent="0.25">
      <c r="A270" s="137">
        <f t="shared" si="65"/>
        <v>252</v>
      </c>
      <c r="B270" s="138">
        <f t="shared" si="66"/>
        <v>64</v>
      </c>
      <c r="C270" s="120" t="s">
        <v>51</v>
      </c>
      <c r="D270" s="120" t="s">
        <v>454</v>
      </c>
      <c r="E270" s="121">
        <v>1954</v>
      </c>
      <c r="F270" s="121">
        <v>2005</v>
      </c>
      <c r="G270" s="121" t="s">
        <v>43</v>
      </c>
      <c r="H270" s="121">
        <v>3</v>
      </c>
      <c r="I270" s="121">
        <v>3</v>
      </c>
      <c r="J270" s="107">
        <v>1802.3</v>
      </c>
      <c r="K270" s="107">
        <v>1033</v>
      </c>
      <c r="L270" s="107">
        <v>769.3</v>
      </c>
      <c r="M270" s="122">
        <v>35</v>
      </c>
      <c r="N270" s="133">
        <f t="shared" ref="N270:N333" si="87">+P270+Q270+R270+S270+T270</f>
        <v>3657664.2127659051</v>
      </c>
      <c r="O270" s="107"/>
      <c r="P270" s="108"/>
      <c r="Q270" s="108"/>
      <c r="R270" s="108">
        <f>+AQ270+AR270</f>
        <v>1158057.5900000001</v>
      </c>
      <c r="S270" s="108">
        <f>+'Приложение №2'!E270-'Приложение №1'!P270-'Приложение №1'!Q270-'Приложение №1'!R270</f>
        <v>2499606.6227659052</v>
      </c>
      <c r="T270" s="108">
        <f>+'Приложение №2'!E270-'Приложение №1'!P270-'Приложение №1'!Q270-'Приложение №1'!R270-'Приложение №1'!S270</f>
        <v>0</v>
      </c>
      <c r="U270" s="107">
        <f t="shared" si="81"/>
        <v>2029.4424972345921</v>
      </c>
      <c r="V270" s="107">
        <f t="shared" si="81"/>
        <v>2029.4424972345921</v>
      </c>
      <c r="W270" s="135">
        <v>2023</v>
      </c>
      <c r="X270" s="28" t="e">
        <f>+#REF!-'[1]Приложение №1'!$P1598</f>
        <v>#REF!</v>
      </c>
      <c r="Z270" s="30">
        <f t="shared" si="82"/>
        <v>16373215.82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/>
      <c r="AG270" s="26">
        <v>0</v>
      </c>
      <c r="AH270" s="26">
        <v>0</v>
      </c>
      <c r="AI270" s="26">
        <v>15841009.187234094</v>
      </c>
      <c r="AJ270" s="26">
        <v>0</v>
      </c>
      <c r="AK270" s="26">
        <v>0</v>
      </c>
      <c r="AL270" s="26">
        <v>0</v>
      </c>
      <c r="AM270" s="26">
        <v>144246.84530748578</v>
      </c>
      <c r="AN270" s="26">
        <v>41549</v>
      </c>
      <c r="AO270" s="32">
        <v>346410.7874584198</v>
      </c>
      <c r="AP270" s="77">
        <f>+N270-'Приложение №2'!E270</f>
        <v>0</v>
      </c>
      <c r="AQ270" s="1">
        <v>895754.39</v>
      </c>
      <c r="AR270" s="1">
        <f t="shared" si="86"/>
        <v>262303.2</v>
      </c>
      <c r="AS270" s="1">
        <f>+(K270*10+L270*20)*12*30</f>
        <v>9257760</v>
      </c>
      <c r="AT270" s="28">
        <f t="shared" si="61"/>
        <v>-6758153.3772340948</v>
      </c>
      <c r="AU270" s="28">
        <f>+P270-'[6]Приложение №1'!$P263</f>
        <v>0</v>
      </c>
      <c r="AV270" s="28">
        <f>+Q270-'[6]Приложение №1'!$Q263</f>
        <v>0</v>
      </c>
      <c r="AW270" s="28">
        <f>+R270-'[6]Приложение №1'!$R263</f>
        <v>0</v>
      </c>
      <c r="AX270" s="28">
        <f>+S270-'[6]Приложение №1'!$S263</f>
        <v>0</v>
      </c>
      <c r="AY270" s="28">
        <f>+T270-'[6]Приложение №1'!$T263</f>
        <v>0</v>
      </c>
    </row>
    <row r="271" spans="1:51" s="34" customFormat="1" x14ac:dyDescent="0.25">
      <c r="A271" s="137">
        <f t="shared" si="65"/>
        <v>253</v>
      </c>
      <c r="B271" s="138">
        <f t="shared" si="66"/>
        <v>65</v>
      </c>
      <c r="C271" s="120" t="s">
        <v>51</v>
      </c>
      <c r="D271" s="120" t="s">
        <v>455</v>
      </c>
      <c r="E271" s="121">
        <v>1959</v>
      </c>
      <c r="F271" s="121"/>
      <c r="G271" s="121" t="s">
        <v>43</v>
      </c>
      <c r="H271" s="121">
        <v>4</v>
      </c>
      <c r="I271" s="121">
        <v>3</v>
      </c>
      <c r="J271" s="107">
        <v>2378.1999999999998</v>
      </c>
      <c r="K271" s="107">
        <v>1790.7</v>
      </c>
      <c r="L271" s="107">
        <v>587.5</v>
      </c>
      <c r="M271" s="122">
        <v>74</v>
      </c>
      <c r="N271" s="123">
        <f t="shared" si="87"/>
        <v>4680179.74</v>
      </c>
      <c r="O271" s="107"/>
      <c r="P271" s="108">
        <f>+'[7]Приложение №2'!E70-'[7]Приложение №1'!R70-'[7]Приложение №1'!S70</f>
        <v>0</v>
      </c>
      <c r="Q271" s="108"/>
      <c r="R271" s="108">
        <f>+AQ271+AR271</f>
        <v>1241498.4906000001</v>
      </c>
      <c r="S271" s="108">
        <f>+'Приложение №2'!E271-'Приложение №1'!R271</f>
        <v>3438681.2494000001</v>
      </c>
      <c r="T271" s="107">
        <f>+'[7]Приложение №2'!E70-'[7]Приложение №1'!P70-'[7]Приложение №1'!Q70-'[7]Приложение №1'!R70-'[7]Приложение №1'!S70</f>
        <v>0</v>
      </c>
      <c r="U271" s="108">
        <f>N271/K271</f>
        <v>2613.6034735019825</v>
      </c>
      <c r="V271" s="108">
        <v>1173.2830200640001</v>
      </c>
      <c r="W271" s="135">
        <v>2023</v>
      </c>
      <c r="AA271" s="35"/>
      <c r="AD271" s="35"/>
      <c r="AP271" s="77">
        <f>+N271-'Приложение №2'!E271</f>
        <v>0</v>
      </c>
      <c r="AQ271" s="23">
        <v>863803.68</v>
      </c>
      <c r="AR271" s="1">
        <f>+(K271*13.29+L271*22.52)*12*0.85</f>
        <v>377694.81060000003</v>
      </c>
      <c r="AS271" s="1">
        <f>+(K271*10+L271*20)*12*30</f>
        <v>10676520</v>
      </c>
      <c r="AT271" s="28">
        <f>+S271-AS271</f>
        <v>-7237838.7505999999</v>
      </c>
    </row>
    <row r="272" spans="1:51" x14ac:dyDescent="0.25">
      <c r="A272" s="137">
        <f t="shared" si="65"/>
        <v>254</v>
      </c>
      <c r="B272" s="138">
        <f t="shared" si="66"/>
        <v>66</v>
      </c>
      <c r="C272" s="120" t="s">
        <v>51</v>
      </c>
      <c r="D272" s="120" t="s">
        <v>394</v>
      </c>
      <c r="E272" s="121">
        <v>1965</v>
      </c>
      <c r="F272" s="121">
        <v>2005</v>
      </c>
      <c r="G272" s="121" t="s">
        <v>43</v>
      </c>
      <c r="H272" s="121">
        <v>4</v>
      </c>
      <c r="I272" s="121">
        <v>2</v>
      </c>
      <c r="J272" s="107">
        <v>1948.5</v>
      </c>
      <c r="K272" s="107">
        <v>1410</v>
      </c>
      <c r="L272" s="107">
        <v>537.70000000000005</v>
      </c>
      <c r="M272" s="122">
        <v>38</v>
      </c>
      <c r="N272" s="133">
        <f t="shared" si="87"/>
        <v>6118734.1876640003</v>
      </c>
      <c r="O272" s="107"/>
      <c r="P272" s="108"/>
      <c r="Q272" s="108"/>
      <c r="R272" s="108">
        <f>+AQ272+AR272</f>
        <v>414061.25585124007</v>
      </c>
      <c r="S272" s="108">
        <f>+'Приложение №2'!E272-R272</f>
        <v>5704672.9318127604</v>
      </c>
      <c r="T272" s="108">
        <v>0</v>
      </c>
      <c r="U272" s="107">
        <f t="shared" si="81"/>
        <v>3141.5177838804743</v>
      </c>
      <c r="V272" s="107">
        <f t="shared" si="81"/>
        <v>3141.5177838804743</v>
      </c>
      <c r="W272" s="135">
        <v>2023</v>
      </c>
      <c r="X272" s="28" t="e">
        <f>+#REF!-'[1]Приложение №1'!$P1526</f>
        <v>#REF!</v>
      </c>
      <c r="Z272" s="30">
        <f t="shared" si="82"/>
        <v>10380935.740000002</v>
      </c>
      <c r="AA272" s="26">
        <v>4172919.5503249806</v>
      </c>
      <c r="AB272" s="26">
        <v>1486982.7864103799</v>
      </c>
      <c r="AC272" s="26">
        <v>1553566.1571465</v>
      </c>
      <c r="AD272" s="26">
        <v>972630.6372728399</v>
      </c>
      <c r="AE272" s="26">
        <v>595090.92894678004</v>
      </c>
      <c r="AF272" s="26"/>
      <c r="AG272" s="26">
        <v>160126.34455524001</v>
      </c>
      <c r="AH272" s="26">
        <v>0</v>
      </c>
      <c r="AI272" s="26">
        <v>0</v>
      </c>
      <c r="AJ272" s="26">
        <v>0</v>
      </c>
      <c r="AK272" s="26">
        <v>0</v>
      </c>
      <c r="AL272" s="26">
        <v>0</v>
      </c>
      <c r="AM272" s="26">
        <v>1140281.4974</v>
      </c>
      <c r="AN272" s="31">
        <v>103809.35740000001</v>
      </c>
      <c r="AO272" s="32">
        <v>195528.48054327999</v>
      </c>
      <c r="AP272" s="77">
        <f>+N272-'Приложение №2'!E272</f>
        <v>0</v>
      </c>
      <c r="AQ272" s="28">
        <f>945052.78-R70</f>
        <v>160550.45585124008</v>
      </c>
      <c r="AR272" s="1">
        <f t="shared" si="86"/>
        <v>253510.8</v>
      </c>
      <c r="AS272" s="1">
        <f>+(K272*10+L272*20)*12*30-S70</f>
        <v>8947440</v>
      </c>
      <c r="AT272" s="28">
        <f t="shared" si="61"/>
        <v>-3242767.0681872396</v>
      </c>
      <c r="AU272" s="28">
        <f>+P272-'[6]Приложение №1'!$P265</f>
        <v>0</v>
      </c>
      <c r="AV272" s="28">
        <f>+Q272-'[6]Приложение №1'!$Q265</f>
        <v>0</v>
      </c>
      <c r="AW272" s="28">
        <f>+R272-'[6]Приложение №1'!$R265</f>
        <v>414061.25585124007</v>
      </c>
      <c r="AX272" s="28">
        <f>+S272-'[6]Приложение №1'!$S265</f>
        <v>217515.79414875992</v>
      </c>
      <c r="AY272" s="28">
        <f>+T272-'[6]Приложение №1'!$T265</f>
        <v>0</v>
      </c>
    </row>
    <row r="273" spans="1:51" x14ac:dyDescent="0.25">
      <c r="A273" s="137">
        <f t="shared" si="65"/>
        <v>255</v>
      </c>
      <c r="B273" s="138">
        <f t="shared" si="66"/>
        <v>67</v>
      </c>
      <c r="C273" s="120" t="s">
        <v>51</v>
      </c>
      <c r="D273" s="120" t="s">
        <v>395</v>
      </c>
      <c r="E273" s="121">
        <v>1963</v>
      </c>
      <c r="F273" s="121">
        <v>2013</v>
      </c>
      <c r="G273" s="121" t="s">
        <v>43</v>
      </c>
      <c r="H273" s="121">
        <v>4</v>
      </c>
      <c r="I273" s="121">
        <v>3</v>
      </c>
      <c r="J273" s="107">
        <v>2328.4</v>
      </c>
      <c r="K273" s="107">
        <v>1950.9</v>
      </c>
      <c r="L273" s="107">
        <v>377.5</v>
      </c>
      <c r="M273" s="122">
        <v>49</v>
      </c>
      <c r="N273" s="123">
        <f t="shared" si="87"/>
        <v>1103844.6695074399</v>
      </c>
      <c r="O273" s="107"/>
      <c r="P273" s="108"/>
      <c r="Q273" s="108"/>
      <c r="R273" s="108">
        <f>+AR273</f>
        <v>276001.8</v>
      </c>
      <c r="S273" s="108">
        <f>+'Приложение №2'!E273-'Приложение №1'!R273</f>
        <v>827842.8695074399</v>
      </c>
      <c r="T273" s="107"/>
      <c r="U273" s="108">
        <f t="shared" ref="U273:V273" si="88">$N273/($K273+$L273)</f>
        <v>474.07862459518981</v>
      </c>
      <c r="V273" s="108">
        <f t="shared" si="88"/>
        <v>474.07862459518981</v>
      </c>
      <c r="W273" s="135">
        <v>2023</v>
      </c>
      <c r="X273" s="28" t="e">
        <f>+#REF!-'[1]Приложение №1'!$P1615</f>
        <v>#REF!</v>
      </c>
      <c r="Z273" s="30">
        <f t="shared" si="82"/>
        <v>11906775.319999998</v>
      </c>
      <c r="AA273" s="26">
        <v>4786275.2192018395</v>
      </c>
      <c r="AB273" s="26">
        <v>1705546.6285494</v>
      </c>
      <c r="AC273" s="26">
        <v>1781916.7351927198</v>
      </c>
      <c r="AD273" s="26">
        <v>1115592.5413768801</v>
      </c>
      <c r="AE273" s="26">
        <v>682560.24163362011</v>
      </c>
      <c r="AF273" s="26"/>
      <c r="AG273" s="26">
        <v>183662.48366172001</v>
      </c>
      <c r="AH273" s="26">
        <v>0</v>
      </c>
      <c r="AI273" s="26">
        <v>0</v>
      </c>
      <c r="AJ273" s="26">
        <v>0</v>
      </c>
      <c r="AK273" s="26">
        <v>0</v>
      </c>
      <c r="AL273" s="26">
        <v>0</v>
      </c>
      <c r="AM273" s="26">
        <v>1307885.5255</v>
      </c>
      <c r="AN273" s="31">
        <v>119067.75319999999</v>
      </c>
      <c r="AO273" s="32">
        <v>224268.19168382001</v>
      </c>
      <c r="AP273" s="77">
        <f>+N273-'Приложение №2'!E273</f>
        <v>0</v>
      </c>
      <c r="AQ273" s="28">
        <f>1234380.76-R71</f>
        <v>473105.86838256032</v>
      </c>
      <c r="AR273" s="1">
        <f>+(K273*10+L273*20)*12*0.85</f>
        <v>276001.8</v>
      </c>
      <c r="AS273" s="1">
        <f>+(K273*10+L273*20)*12*30-S71</f>
        <v>5910049.0099999998</v>
      </c>
      <c r="AT273" s="28">
        <f t="shared" si="61"/>
        <v>-5082206.1404925603</v>
      </c>
    </row>
    <row r="274" spans="1:51" x14ac:dyDescent="0.25">
      <c r="A274" s="137">
        <f t="shared" si="65"/>
        <v>256</v>
      </c>
      <c r="B274" s="138">
        <f t="shared" si="66"/>
        <v>68</v>
      </c>
      <c r="C274" s="120" t="s">
        <v>51</v>
      </c>
      <c r="D274" s="120" t="s">
        <v>389</v>
      </c>
      <c r="E274" s="121">
        <v>1963</v>
      </c>
      <c r="F274" s="121">
        <v>2013</v>
      </c>
      <c r="G274" s="121" t="s">
        <v>43</v>
      </c>
      <c r="H274" s="121">
        <v>4</v>
      </c>
      <c r="I274" s="121">
        <v>4</v>
      </c>
      <c r="J274" s="107">
        <v>5268.75</v>
      </c>
      <c r="K274" s="107">
        <v>3170.15</v>
      </c>
      <c r="L274" s="107">
        <v>2098.6</v>
      </c>
      <c r="M274" s="122">
        <v>92</v>
      </c>
      <c r="N274" s="133">
        <f t="shared" si="87"/>
        <v>5422423.3145060008</v>
      </c>
      <c r="O274" s="107"/>
      <c r="P274" s="108">
        <v>2983667.61</v>
      </c>
      <c r="Q274" s="108"/>
      <c r="R274" s="108">
        <f>+AQ274+AR274</f>
        <v>0</v>
      </c>
      <c r="S274" s="108">
        <f>+'Приложение №2'!E274-'Приложение №1'!R274-P274</f>
        <v>2438755.704506001</v>
      </c>
      <c r="T274" s="107">
        <f>+'Приложение №2'!E274-'Приложение №1'!P274-'Приложение №1'!Q274-'Приложение №1'!R274-'Приложение №1'!S274</f>
        <v>0</v>
      </c>
      <c r="U274" s="108">
        <f t="shared" ref="U274:V297" si="89">$N274/($K274+$L274)</f>
        <v>1029.166939882515</v>
      </c>
      <c r="V274" s="108">
        <f t="shared" si="89"/>
        <v>1029.166939882515</v>
      </c>
      <c r="W274" s="135">
        <v>2023</v>
      </c>
      <c r="X274" s="28" t="e">
        <f>+#REF!-'[1]Приложение №1'!$P1206</f>
        <v>#REF!</v>
      </c>
      <c r="Z274" s="30">
        <f t="shared" si="82"/>
        <v>55905524.456026562</v>
      </c>
      <c r="AA274" s="26">
        <v>8910375.1309635937</v>
      </c>
      <c r="AB274" s="26">
        <v>3183729.7650160287</v>
      </c>
      <c r="AC274" s="26">
        <v>3374754.2381990571</v>
      </c>
      <c r="AD274" s="26">
        <v>2149419.7980030486</v>
      </c>
      <c r="AE274" s="26">
        <v>1581654.1276199999</v>
      </c>
      <c r="AF274" s="26"/>
      <c r="AG274" s="26">
        <v>320562.32128199999</v>
      </c>
      <c r="AH274" s="26">
        <v>0</v>
      </c>
      <c r="AI274" s="26">
        <v>16307858.936562859</v>
      </c>
      <c r="AJ274" s="26">
        <v>0</v>
      </c>
      <c r="AK274" s="26">
        <v>8424086.4921022002</v>
      </c>
      <c r="AL274" s="26">
        <v>9161049.1317717694</v>
      </c>
      <c r="AM274" s="26">
        <v>1263665.5900000001</v>
      </c>
      <c r="AN274" s="26">
        <v>60324.08</v>
      </c>
      <c r="AO274" s="32">
        <v>1168044.8445060002</v>
      </c>
      <c r="AP274" s="77">
        <f>+N274-'Приложение №2'!E274</f>
        <v>0</v>
      </c>
      <c r="AQ274" s="28">
        <f>3051973.41-R65</f>
        <v>-751469.70000000019</v>
      </c>
      <c r="AR274" s="1">
        <f t="shared" si="86"/>
        <v>751469.7</v>
      </c>
      <c r="AS274" s="1">
        <f>+(K274*10+L274*20)*12*30-S65</f>
        <v>14009140.329692017</v>
      </c>
      <c r="AT274" s="28">
        <f t="shared" si="61"/>
        <v>-11570384.625186017</v>
      </c>
      <c r="AU274" s="28">
        <f>+P274-'[6]Приложение №1'!$P266</f>
        <v>0</v>
      </c>
      <c r="AV274" s="28">
        <f>+Q274-'[6]Приложение №1'!$Q266</f>
        <v>0</v>
      </c>
      <c r="AW274" s="28">
        <f>+R274-'[6]Приложение №1'!$R266</f>
        <v>0</v>
      </c>
      <c r="AX274" s="28">
        <f>+S274-'[6]Приложение №1'!$S266</f>
        <v>887331.23000000045</v>
      </c>
      <c r="AY274" s="28">
        <f>+T274-'[6]Приложение №1'!$T266</f>
        <v>0</v>
      </c>
    </row>
    <row r="275" spans="1:51" x14ac:dyDescent="0.25">
      <c r="A275" s="137">
        <f t="shared" si="65"/>
        <v>257</v>
      </c>
      <c r="B275" s="138">
        <f t="shared" si="66"/>
        <v>69</v>
      </c>
      <c r="C275" s="120" t="s">
        <v>51</v>
      </c>
      <c r="D275" s="120" t="s">
        <v>396</v>
      </c>
      <c r="E275" s="121">
        <v>1989</v>
      </c>
      <c r="F275" s="121">
        <v>2017</v>
      </c>
      <c r="G275" s="121" t="s">
        <v>83</v>
      </c>
      <c r="H275" s="121">
        <v>9</v>
      </c>
      <c r="I275" s="121">
        <v>3</v>
      </c>
      <c r="J275" s="107">
        <v>7106.9</v>
      </c>
      <c r="K275" s="107">
        <v>6247.4</v>
      </c>
      <c r="L275" s="107">
        <v>0</v>
      </c>
      <c r="M275" s="122">
        <v>249</v>
      </c>
      <c r="N275" s="133">
        <f t="shared" si="87"/>
        <v>12736306.474216621</v>
      </c>
      <c r="O275" s="107"/>
      <c r="P275" s="108">
        <v>2760799.8602499994</v>
      </c>
      <c r="Q275" s="108"/>
      <c r="R275" s="108">
        <f>+AQ275+AR275-67931.3</f>
        <v>3566852.3591999998</v>
      </c>
      <c r="S275" s="108">
        <f>+'Приложение №2'!E275-'Приложение №1'!P275-'Приложение №1'!Q275-'Приложение №1'!R275</f>
        <v>6408654.2547666216</v>
      </c>
      <c r="T275" s="108">
        <f>+'Приложение №2'!E275-'Приложение №1'!P275-'Приложение №1'!Q275-'Приложение №1'!R275-'Приложение №1'!S275</f>
        <v>0</v>
      </c>
      <c r="U275" s="107">
        <f t="shared" si="89"/>
        <v>2038.6571172354295</v>
      </c>
      <c r="V275" s="107">
        <f t="shared" si="89"/>
        <v>2038.6571172354295</v>
      </c>
      <c r="W275" s="135">
        <v>2023</v>
      </c>
      <c r="X275" s="28" t="e">
        <f>+#REF!-'[1]Приложение №1'!$P538</f>
        <v>#REF!</v>
      </c>
      <c r="Z275" s="30">
        <f t="shared" si="82"/>
        <v>25881031.239999995</v>
      </c>
      <c r="AA275" s="26"/>
      <c r="AB275" s="26"/>
      <c r="AC275" s="26"/>
      <c r="AD275" s="26"/>
      <c r="AE275" s="26">
        <v>0</v>
      </c>
      <c r="AF275" s="26"/>
      <c r="AG275" s="26"/>
      <c r="AH275" s="26">
        <v>0</v>
      </c>
      <c r="AI275" s="26"/>
      <c r="AJ275" s="26">
        <v>0</v>
      </c>
      <c r="AK275" s="26">
        <v>25881031.239999995</v>
      </c>
      <c r="AL275" s="26">
        <v>0</v>
      </c>
      <c r="AM275" s="26"/>
      <c r="AN275" s="31"/>
      <c r="AO275" s="32"/>
      <c r="AP275" s="77">
        <f>+N275-'Приложение №2'!E275</f>
        <v>0</v>
      </c>
      <c r="AQ275" s="1">
        <v>2787898.61</v>
      </c>
      <c r="AR275" s="1">
        <f>+(K275*13.29+L275*22.52)*12*0.85</f>
        <v>846885.04919999989</v>
      </c>
      <c r="AS275" s="1">
        <f>+(K275*13.29+L275*22.52)*12*30-131853.4</f>
        <v>29758207.16</v>
      </c>
      <c r="AT275" s="28">
        <f t="shared" ref="AT275:AT340" si="90">+S275-AS275</f>
        <v>-23349552.905233379</v>
      </c>
      <c r="AU275" s="28">
        <f>+P275-'[6]Приложение №1'!$P267</f>
        <v>0</v>
      </c>
      <c r="AV275" s="28">
        <f>+Q275-'[6]Приложение №1'!$Q267</f>
        <v>0</v>
      </c>
      <c r="AW275" s="28">
        <f>+R275-'[6]Приложение №1'!$R267</f>
        <v>0</v>
      </c>
      <c r="AX275" s="28">
        <f>+S275-'[6]Приложение №1'!$S267</f>
        <v>0</v>
      </c>
      <c r="AY275" s="28">
        <f>+T275-'[6]Приложение №1'!$T267</f>
        <v>0</v>
      </c>
    </row>
    <row r="276" spans="1:51" x14ac:dyDescent="0.25">
      <c r="A276" s="137">
        <f t="shared" si="65"/>
        <v>258</v>
      </c>
      <c r="B276" s="138">
        <f t="shared" si="66"/>
        <v>70</v>
      </c>
      <c r="C276" s="120" t="s">
        <v>51</v>
      </c>
      <c r="D276" s="120" t="s">
        <v>397</v>
      </c>
      <c r="E276" s="121">
        <v>1989</v>
      </c>
      <c r="F276" s="121">
        <v>2017</v>
      </c>
      <c r="G276" s="121" t="s">
        <v>83</v>
      </c>
      <c r="H276" s="121">
        <v>9</v>
      </c>
      <c r="I276" s="121">
        <v>3</v>
      </c>
      <c r="J276" s="107">
        <v>8049.4</v>
      </c>
      <c r="K276" s="107">
        <v>6639.6</v>
      </c>
      <c r="L276" s="107">
        <v>0</v>
      </c>
      <c r="M276" s="122">
        <v>258</v>
      </c>
      <c r="N276" s="133">
        <f t="shared" si="87"/>
        <v>10182899.69749306</v>
      </c>
      <c r="O276" s="107"/>
      <c r="P276" s="111"/>
      <c r="Q276" s="108"/>
      <c r="R276" s="108">
        <f>5204490.44-2689128.01</f>
        <v>2515362.4300000006</v>
      </c>
      <c r="S276" s="108">
        <f>+'Приложение №2'!E276-'Приложение №1'!P276-'Приложение №1'!Q276-'Приложение №1'!R276</f>
        <v>7667537.2674930589</v>
      </c>
      <c r="T276" s="107"/>
      <c r="U276" s="108">
        <f t="shared" si="89"/>
        <v>1533.6616208044247</v>
      </c>
      <c r="V276" s="108">
        <f t="shared" si="89"/>
        <v>1533.6616208044247</v>
      </c>
      <c r="W276" s="135">
        <v>2023</v>
      </c>
      <c r="X276" s="28" t="e">
        <f>+#REF!-'[1]Приложение №1'!$P1217</f>
        <v>#REF!</v>
      </c>
      <c r="Z276" s="30">
        <f t="shared" si="82"/>
        <v>34535107.586130939</v>
      </c>
      <c r="AA276" s="26">
        <v>9503098.7698319387</v>
      </c>
      <c r="AB276" s="26">
        <v>0</v>
      </c>
      <c r="AC276" s="26">
        <v>6138860.8976629199</v>
      </c>
      <c r="AD276" s="26">
        <v>2958309.3156556799</v>
      </c>
      <c r="AE276" s="26">
        <v>0</v>
      </c>
      <c r="AF276" s="26"/>
      <c r="AG276" s="26">
        <v>715245.76767839992</v>
      </c>
      <c r="AH276" s="26">
        <v>0</v>
      </c>
      <c r="AI276" s="26">
        <v>5352142.2195780007</v>
      </c>
      <c r="AJ276" s="26">
        <v>0</v>
      </c>
      <c r="AK276" s="26"/>
      <c r="AL276" s="26">
        <v>0</v>
      </c>
      <c r="AM276" s="26">
        <v>7589459.6136000007</v>
      </c>
      <c r="AN276" s="31">
        <v>782532.36640000006</v>
      </c>
      <c r="AO276" s="32">
        <v>1495458.6357239999</v>
      </c>
      <c r="AP276" s="77">
        <f>+N276-'Приложение №2'!E276</f>
        <v>0</v>
      </c>
      <c r="AQ276" s="28">
        <f>4261157.78-R73</f>
        <v>4261157.78</v>
      </c>
      <c r="AR276" s="1">
        <f>+(K276*13.29+L276*22.52)*12*0.85</f>
        <v>900050.89679999999</v>
      </c>
      <c r="AS276" s="1">
        <f>+(K276*13.29+L276*22.52)*12*30-14694406.85-S73</f>
        <v>13686757.412506942</v>
      </c>
      <c r="AT276" s="28">
        <f t="shared" si="90"/>
        <v>-6019220.1450138828</v>
      </c>
    </row>
    <row r="277" spans="1:51" x14ac:dyDescent="0.25">
      <c r="A277" s="137">
        <f t="shared" si="65"/>
        <v>259</v>
      </c>
      <c r="B277" s="138">
        <f t="shared" si="66"/>
        <v>71</v>
      </c>
      <c r="C277" s="120" t="s">
        <v>51</v>
      </c>
      <c r="D277" s="120" t="s">
        <v>398</v>
      </c>
      <c r="E277" s="121">
        <v>1994</v>
      </c>
      <c r="F277" s="121">
        <v>2013</v>
      </c>
      <c r="G277" s="121" t="s">
        <v>83</v>
      </c>
      <c r="H277" s="121">
        <v>9</v>
      </c>
      <c r="I277" s="121">
        <v>3</v>
      </c>
      <c r="J277" s="107">
        <v>7891.7</v>
      </c>
      <c r="K277" s="107">
        <v>6600.8</v>
      </c>
      <c r="L277" s="107">
        <v>0</v>
      </c>
      <c r="M277" s="122">
        <v>291</v>
      </c>
      <c r="N277" s="133">
        <f t="shared" si="87"/>
        <v>12718244.725879181</v>
      </c>
      <c r="O277" s="107"/>
      <c r="P277" s="108">
        <v>1020018.4912000014</v>
      </c>
      <c r="Q277" s="108"/>
      <c r="R277" s="108"/>
      <c r="S277" s="108">
        <f>+'Приложение №2'!E277-'Приложение №1'!P277-'Приложение №1'!Q277-'Приложение №1'!R277</f>
        <v>11698226.234679179</v>
      </c>
      <c r="T277" s="108">
        <f>+'Приложение №2'!E277-'Приложение №1'!P277-'Приложение №1'!Q277-'Приложение №1'!R277-'Приложение №1'!S277</f>
        <v>0</v>
      </c>
      <c r="U277" s="107">
        <f t="shared" si="89"/>
        <v>1926.7732283782543</v>
      </c>
      <c r="V277" s="107">
        <f t="shared" si="89"/>
        <v>1926.7732283782543</v>
      </c>
      <c r="W277" s="135">
        <v>2023</v>
      </c>
      <c r="Z277" s="30">
        <f t="shared" si="82"/>
        <v>8703397.3200000003</v>
      </c>
      <c r="AA277" s="26"/>
      <c r="AB277" s="31"/>
      <c r="AC277" s="26"/>
      <c r="AD277" s="26"/>
      <c r="AE277" s="31">
        <v>0</v>
      </c>
      <c r="AF277" s="31">
        <v>0</v>
      </c>
      <c r="AG277" s="31"/>
      <c r="AH277" s="31">
        <v>8628684.8600000013</v>
      </c>
      <c r="AI277" s="26"/>
      <c r="AJ277" s="31">
        <v>0</v>
      </c>
      <c r="AK277" s="26"/>
      <c r="AL277" s="31">
        <v>0</v>
      </c>
      <c r="AM277" s="26">
        <v>55020.369999999995</v>
      </c>
      <c r="AN277" s="26">
        <v>19692.09</v>
      </c>
      <c r="AO277" s="29"/>
      <c r="AP277" s="77">
        <f>+N277-'Приложение №2'!E277</f>
        <v>0</v>
      </c>
      <c r="AQ277" s="28">
        <f>4161512.94-301266.52-3086934.55-S74</f>
        <v>-3941022.5194791807</v>
      </c>
      <c r="AR277" s="1">
        <f>+(K277*13.29+L277*22.52)*12*0.85</f>
        <v>894791.24639999995</v>
      </c>
      <c r="AS277" s="1">
        <f>+(K277*13.29+L277*22.52)*12*30-1198680.53-8354818.57-S74</f>
        <v>17313034.030520819</v>
      </c>
      <c r="AT277" s="28">
        <f t="shared" si="90"/>
        <v>-5614807.7958416399</v>
      </c>
      <c r="AU277" s="28">
        <f>+P277-'[6]Приложение №1'!$P268</f>
        <v>0</v>
      </c>
      <c r="AV277" s="28">
        <f>+Q277-'[6]Приложение №1'!$Q268</f>
        <v>0</v>
      </c>
      <c r="AW277" s="28">
        <f>+R277-'[6]Приложение №1'!$R268</f>
        <v>-1668103.1164000002</v>
      </c>
      <c r="AX277" s="28">
        <f>+S277-'[6]Приложение №1'!$S268</f>
        <v>6355227.6963999998</v>
      </c>
      <c r="AY277" s="28">
        <f>+T277-'[6]Приложение №1'!$T268</f>
        <v>0</v>
      </c>
    </row>
    <row r="278" spans="1:51" x14ac:dyDescent="0.25">
      <c r="A278" s="137">
        <f t="shared" si="65"/>
        <v>260</v>
      </c>
      <c r="B278" s="138">
        <f t="shared" si="66"/>
        <v>72</v>
      </c>
      <c r="C278" s="120" t="s">
        <v>51</v>
      </c>
      <c r="D278" s="120" t="s">
        <v>399</v>
      </c>
      <c r="E278" s="121">
        <v>1987</v>
      </c>
      <c r="F278" s="121">
        <v>2013</v>
      </c>
      <c r="G278" s="121" t="s">
        <v>43</v>
      </c>
      <c r="H278" s="121">
        <v>3</v>
      </c>
      <c r="I278" s="121">
        <v>3</v>
      </c>
      <c r="J278" s="107">
        <v>1395.8</v>
      </c>
      <c r="K278" s="107">
        <v>1268</v>
      </c>
      <c r="L278" s="107">
        <v>0</v>
      </c>
      <c r="M278" s="122">
        <v>63</v>
      </c>
      <c r="N278" s="133">
        <f t="shared" si="87"/>
        <v>7108581.8518827204</v>
      </c>
      <c r="O278" s="107"/>
      <c r="P278" s="108">
        <f>+'Приложение №2'!E278-'Приложение №1'!R278-'Приложение №1'!S278</f>
        <v>6889278.41188272</v>
      </c>
      <c r="Q278" s="108"/>
      <c r="R278" s="108">
        <f>+AQ278+AR278</f>
        <v>219303.44</v>
      </c>
      <c r="S278" s="108">
        <v>0</v>
      </c>
      <c r="T278" s="107"/>
      <c r="U278" s="107">
        <f t="shared" si="89"/>
        <v>5606.1371071630283</v>
      </c>
      <c r="V278" s="107">
        <f t="shared" si="89"/>
        <v>5606.1371071630283</v>
      </c>
      <c r="W278" s="135">
        <v>2023</v>
      </c>
      <c r="X278" s="28" t="e">
        <f>+#REF!-'[1]Приложение №1'!$P656</f>
        <v>#REF!</v>
      </c>
      <c r="Z278" s="30">
        <f t="shared" si="82"/>
        <v>20424271.119999997</v>
      </c>
      <c r="AA278" s="26">
        <v>3880461.3812546395</v>
      </c>
      <c r="AB278" s="26">
        <v>2361201.0958737601</v>
      </c>
      <c r="AC278" s="26">
        <v>1112617.8937948202</v>
      </c>
      <c r="AD278" s="26">
        <v>948184.97499599995</v>
      </c>
      <c r="AE278" s="26">
        <v>0</v>
      </c>
      <c r="AF278" s="26"/>
      <c r="AG278" s="26">
        <v>395993.45985528</v>
      </c>
      <c r="AH278" s="26">
        <v>0</v>
      </c>
      <c r="AI278" s="26">
        <v>0</v>
      </c>
      <c r="AJ278" s="26">
        <v>0</v>
      </c>
      <c r="AK278" s="26">
        <v>9178717.215051299</v>
      </c>
      <c r="AL278" s="26">
        <v>0</v>
      </c>
      <c r="AM278" s="26">
        <v>1951914.7557999999</v>
      </c>
      <c r="AN278" s="31">
        <v>204242.71119999999</v>
      </c>
      <c r="AO278" s="32">
        <v>390937.63217419997</v>
      </c>
      <c r="AP278" s="77">
        <f>+N278-'Приложение №2'!E278</f>
        <v>0</v>
      </c>
      <c r="AQ278" s="28">
        <f>502354.09-R75</f>
        <v>89967.44</v>
      </c>
      <c r="AR278" s="1">
        <f t="shared" ref="AR278" si="91">+(K278*10+L278*20)*12*0.85</f>
        <v>129336</v>
      </c>
      <c r="AS278" s="1">
        <f>+(K278*10+L278*20)*12*30-S75</f>
        <v>-1097293.7818827191</v>
      </c>
      <c r="AT278" s="28">
        <f t="shared" si="90"/>
        <v>1097293.7818827191</v>
      </c>
    </row>
    <row r="279" spans="1:51" x14ac:dyDescent="0.25">
      <c r="A279" s="137">
        <f t="shared" si="65"/>
        <v>261</v>
      </c>
      <c r="B279" s="138">
        <f t="shared" si="66"/>
        <v>73</v>
      </c>
      <c r="C279" s="120" t="s">
        <v>51</v>
      </c>
      <c r="D279" s="120" t="s">
        <v>456</v>
      </c>
      <c r="E279" s="121">
        <v>1984</v>
      </c>
      <c r="F279" s="121">
        <v>2016</v>
      </c>
      <c r="G279" s="121" t="s">
        <v>83</v>
      </c>
      <c r="H279" s="121">
        <v>9</v>
      </c>
      <c r="I279" s="121">
        <v>1</v>
      </c>
      <c r="J279" s="107">
        <v>7939.1</v>
      </c>
      <c r="K279" s="107">
        <v>4311.8999999999996</v>
      </c>
      <c r="L279" s="107">
        <v>91.2</v>
      </c>
      <c r="M279" s="122">
        <v>226</v>
      </c>
      <c r="N279" s="133">
        <f t="shared" si="87"/>
        <v>1069515.91491576</v>
      </c>
      <c r="O279" s="107"/>
      <c r="P279" s="108"/>
      <c r="Q279" s="108"/>
      <c r="R279" s="108">
        <f>+'Приложение №2'!E279</f>
        <v>1069515.91491576</v>
      </c>
      <c r="S279" s="108">
        <f>+'Приложение №2'!E279-'Приложение №1'!R279</f>
        <v>0</v>
      </c>
      <c r="T279" s="108">
        <v>0</v>
      </c>
      <c r="U279" s="107">
        <f t="shared" si="89"/>
        <v>242.9006642855625</v>
      </c>
      <c r="V279" s="107">
        <f t="shared" si="89"/>
        <v>242.9006642855625</v>
      </c>
      <c r="W279" s="135">
        <v>2023</v>
      </c>
      <c r="X279" s="28" t="e">
        <f>+#REF!-'[1]Приложение №1'!$P648</f>
        <v>#REF!</v>
      </c>
      <c r="Z279" s="30">
        <f t="shared" si="82"/>
        <v>1735600.36</v>
      </c>
      <c r="AA279" s="26">
        <v>0</v>
      </c>
      <c r="AB279" s="26">
        <v>0</v>
      </c>
      <c r="AC279" s="26">
        <v>0</v>
      </c>
      <c r="AD279" s="26">
        <v>0</v>
      </c>
      <c r="AE279" s="26">
        <v>1171936.3734842401</v>
      </c>
      <c r="AF279" s="26"/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6">
        <v>0</v>
      </c>
      <c r="AM279" s="26">
        <v>520680.10800000001</v>
      </c>
      <c r="AN279" s="31">
        <v>17356.0036</v>
      </c>
      <c r="AO279" s="32">
        <v>25627.874915760007</v>
      </c>
      <c r="AP279" s="77">
        <f>+N279-'Приложение №2'!E279</f>
        <v>0</v>
      </c>
      <c r="AQ279" s="1">
        <v>2426110.94</v>
      </c>
      <c r="AR279" s="1">
        <f>+(K279*13.29+L279*22.52)*12*0.85</f>
        <v>605461.54499999993</v>
      </c>
      <c r="AS279" s="1">
        <f>+(K279*13.29+L279*22.52)*12*30</f>
        <v>21369231</v>
      </c>
      <c r="AT279" s="28">
        <f t="shared" si="90"/>
        <v>-21369231</v>
      </c>
      <c r="AU279" s="28">
        <f>+P279-'[6]Приложение №1'!$P269</f>
        <v>0</v>
      </c>
      <c r="AV279" s="28">
        <f>+Q279-'[6]Приложение №1'!$Q269</f>
        <v>0</v>
      </c>
      <c r="AW279" s="28">
        <f>+R279-'[6]Приложение №1'!$R269</f>
        <v>0</v>
      </c>
      <c r="AX279" s="28">
        <f>+S279-'[6]Приложение №1'!$S269</f>
        <v>0</v>
      </c>
      <c r="AY279" s="28">
        <f>+T279-'[6]Приложение №1'!$T269</f>
        <v>0</v>
      </c>
    </row>
    <row r="280" spans="1:51" x14ac:dyDescent="0.25">
      <c r="A280" s="137">
        <f t="shared" si="65"/>
        <v>262</v>
      </c>
      <c r="B280" s="138">
        <f t="shared" si="66"/>
        <v>74</v>
      </c>
      <c r="C280" s="120" t="s">
        <v>51</v>
      </c>
      <c r="D280" s="120" t="s">
        <v>457</v>
      </c>
      <c r="E280" s="121">
        <v>1982</v>
      </c>
      <c r="F280" s="121">
        <v>2016</v>
      </c>
      <c r="G280" s="121" t="s">
        <v>83</v>
      </c>
      <c r="H280" s="121">
        <v>9</v>
      </c>
      <c r="I280" s="121">
        <v>1</v>
      </c>
      <c r="J280" s="107">
        <v>7939.1</v>
      </c>
      <c r="K280" s="107">
        <v>4285</v>
      </c>
      <c r="L280" s="107">
        <v>172.8</v>
      </c>
      <c r="M280" s="122">
        <v>234</v>
      </c>
      <c r="N280" s="133">
        <f t="shared" si="87"/>
        <v>1137882.68042862</v>
      </c>
      <c r="O280" s="107"/>
      <c r="P280" s="108"/>
      <c r="Q280" s="108"/>
      <c r="R280" s="108">
        <f>+'Приложение №2'!E280</f>
        <v>1137882.68042862</v>
      </c>
      <c r="S280" s="108">
        <f>+'Приложение №2'!E280-'Приложение №1'!R280</f>
        <v>0</v>
      </c>
      <c r="T280" s="108">
        <v>0</v>
      </c>
      <c r="U280" s="107">
        <f t="shared" si="89"/>
        <v>255.25655714222708</v>
      </c>
      <c r="V280" s="107">
        <f t="shared" si="89"/>
        <v>255.25655714222708</v>
      </c>
      <c r="W280" s="135">
        <v>2023</v>
      </c>
      <c r="X280" s="28" t="e">
        <f>+#REF!-'[1]Приложение №1'!$P650</f>
        <v>#REF!</v>
      </c>
      <c r="Z280" s="30">
        <f t="shared" si="82"/>
        <v>1718282.57</v>
      </c>
      <c r="AA280" s="26">
        <v>0</v>
      </c>
      <c r="AB280" s="26">
        <v>0</v>
      </c>
      <c r="AC280" s="26">
        <v>0</v>
      </c>
      <c r="AD280" s="26">
        <v>0</v>
      </c>
      <c r="AE280" s="26">
        <v>1160242.8128713802</v>
      </c>
      <c r="AF280" s="26"/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6">
        <v>0</v>
      </c>
      <c r="AM280" s="26">
        <v>515484.77100000001</v>
      </c>
      <c r="AN280" s="31">
        <v>17182.825700000001</v>
      </c>
      <c r="AO280" s="32">
        <v>25372.160428620005</v>
      </c>
      <c r="AP280" s="77">
        <f>+N280-'Приложение №2'!E280</f>
        <v>0</v>
      </c>
      <c r="AQ280" s="1">
        <v>2596440.5499999998</v>
      </c>
      <c r="AR280" s="1">
        <f>+(K280*13.29+L280*22.52)*12*0.85</f>
        <v>620558.88119999983</v>
      </c>
      <c r="AS280" s="1">
        <f>+(K280*13.29+L280*22.52)*12*30</f>
        <v>21902078.159999996</v>
      </c>
      <c r="AT280" s="28">
        <f t="shared" si="90"/>
        <v>-21902078.159999996</v>
      </c>
      <c r="AU280" s="28">
        <f>+P280-'[6]Приложение №1'!$P270</f>
        <v>0</v>
      </c>
      <c r="AV280" s="28">
        <f>+Q280-'[6]Приложение №1'!$Q270</f>
        <v>0</v>
      </c>
      <c r="AW280" s="28">
        <f>+R280-'[6]Приложение №1'!$R270</f>
        <v>0</v>
      </c>
      <c r="AX280" s="28">
        <f>+S280-'[6]Приложение №1'!$S270</f>
        <v>0</v>
      </c>
      <c r="AY280" s="28">
        <f>+T280-'[6]Приложение №1'!$T270</f>
        <v>0</v>
      </c>
    </row>
    <row r="281" spans="1:51" x14ac:dyDescent="0.25">
      <c r="A281" s="137">
        <f t="shared" ref="A281:B296" si="92">+A280+1</f>
        <v>263</v>
      </c>
      <c r="B281" s="138">
        <f t="shared" si="92"/>
        <v>75</v>
      </c>
      <c r="C281" s="120" t="s">
        <v>51</v>
      </c>
      <c r="D281" s="120" t="s">
        <v>458</v>
      </c>
      <c r="E281" s="121">
        <v>1974</v>
      </c>
      <c r="F281" s="121">
        <v>2013</v>
      </c>
      <c r="G281" s="121" t="s">
        <v>83</v>
      </c>
      <c r="H281" s="121">
        <v>4</v>
      </c>
      <c r="I281" s="121">
        <v>4</v>
      </c>
      <c r="J281" s="107">
        <v>4783.3599999999997</v>
      </c>
      <c r="K281" s="107">
        <v>3510.2</v>
      </c>
      <c r="L281" s="107">
        <v>0</v>
      </c>
      <c r="M281" s="122">
        <v>164</v>
      </c>
      <c r="N281" s="133">
        <f t="shared" si="87"/>
        <v>1319013.2964199998</v>
      </c>
      <c r="O281" s="107"/>
      <c r="P281" s="108"/>
      <c r="Q281" s="108"/>
      <c r="R281" s="108">
        <f>+AQ281+AR281</f>
        <v>909628.81999999983</v>
      </c>
      <c r="S281" s="108">
        <f>+'Приложение №2'!E281-'Приложение №1'!R281</f>
        <v>409384.47641999996</v>
      </c>
      <c r="T281" s="108">
        <v>0</v>
      </c>
      <c r="U281" s="107">
        <f t="shared" si="89"/>
        <v>375.76585277761944</v>
      </c>
      <c r="V281" s="107">
        <f t="shared" si="89"/>
        <v>375.76585277761944</v>
      </c>
      <c r="W281" s="135">
        <v>2023</v>
      </c>
      <c r="X281" s="28" t="e">
        <f>+#REF!-'[1]Приложение №1'!$P652</f>
        <v>#REF!</v>
      </c>
      <c r="Z281" s="30">
        <f t="shared" si="82"/>
        <v>10786909.546420002</v>
      </c>
      <c r="AA281" s="26">
        <v>0</v>
      </c>
      <c r="AB281" s="26">
        <v>0</v>
      </c>
      <c r="AC281" s="26">
        <v>0</v>
      </c>
      <c r="AD281" s="26">
        <v>0</v>
      </c>
      <c r="AE281" s="26">
        <v>1314097.3999999999</v>
      </c>
      <c r="AF281" s="26"/>
      <c r="AG281" s="26">
        <v>0</v>
      </c>
      <c r="AH281" s="26">
        <v>0</v>
      </c>
      <c r="AI281" s="26">
        <v>0</v>
      </c>
      <c r="AJ281" s="26">
        <v>0</v>
      </c>
      <c r="AK281" s="26">
        <v>0</v>
      </c>
      <c r="AL281" s="26">
        <v>8060676.2652087007</v>
      </c>
      <c r="AM281" s="26">
        <v>1135899.3550000002</v>
      </c>
      <c r="AN281" s="31">
        <v>95049.965500000006</v>
      </c>
      <c r="AO281" s="32">
        <v>181186.5607113</v>
      </c>
      <c r="AP281" s="77">
        <f>+N281-'Приложение №2'!E281</f>
        <v>0</v>
      </c>
      <c r="AQ281" s="1">
        <f>1511669.96-960081.54</f>
        <v>551588.41999999993</v>
      </c>
      <c r="AR281" s="1">
        <f t="shared" ref="AR281:AR295" si="93">+(K281*10+L281*20)*12*0.85</f>
        <v>358040.39999999997</v>
      </c>
      <c r="AS281" s="1">
        <f>+(K281*10+L281*20)*12*30-10097.67</f>
        <v>12626622.33</v>
      </c>
      <c r="AT281" s="28">
        <f t="shared" si="90"/>
        <v>-12217237.85358</v>
      </c>
      <c r="AU281" s="28">
        <f>+P281-'[6]Приложение №1'!$P271</f>
        <v>0</v>
      </c>
      <c r="AV281" s="28">
        <f>+Q281-'[6]Приложение №1'!$Q271</f>
        <v>0</v>
      </c>
      <c r="AW281" s="28">
        <f>+R281-'[6]Приложение №1'!$R271</f>
        <v>0</v>
      </c>
      <c r="AX281" s="28">
        <f>+S281-'[6]Приложение №1'!$S271</f>
        <v>0</v>
      </c>
      <c r="AY281" s="28">
        <f>+T281-'[6]Приложение №1'!$T271</f>
        <v>0</v>
      </c>
    </row>
    <row r="282" spans="1:51" s="34" customFormat="1" x14ac:dyDescent="0.25">
      <c r="A282" s="137">
        <f t="shared" si="92"/>
        <v>264</v>
      </c>
      <c r="B282" s="138">
        <f t="shared" si="92"/>
        <v>76</v>
      </c>
      <c r="C282" s="120" t="s">
        <v>51</v>
      </c>
      <c r="D282" s="120" t="s">
        <v>459</v>
      </c>
      <c r="E282" s="121" t="s">
        <v>112</v>
      </c>
      <c r="F282" s="121"/>
      <c r="G282" s="121" t="s">
        <v>83</v>
      </c>
      <c r="H282" s="121" t="s">
        <v>101</v>
      </c>
      <c r="I282" s="121" t="s">
        <v>105</v>
      </c>
      <c r="J282" s="107">
        <v>5658.4</v>
      </c>
      <c r="K282" s="107">
        <v>4959.8999999999996</v>
      </c>
      <c r="L282" s="107">
        <v>0</v>
      </c>
      <c r="M282" s="122">
        <v>203</v>
      </c>
      <c r="N282" s="133">
        <f t="shared" si="87"/>
        <v>5459436.29</v>
      </c>
      <c r="O282" s="107">
        <v>0</v>
      </c>
      <c r="P282" s="108"/>
      <c r="Q282" s="108">
        <v>0</v>
      </c>
      <c r="R282" s="108">
        <f>+AQ282+AR282</f>
        <v>2621887.21</v>
      </c>
      <c r="S282" s="108">
        <f>+'Приложение №2'!E282-'Приложение №1'!R282</f>
        <v>2837549.08</v>
      </c>
      <c r="T282" s="108">
        <v>0</v>
      </c>
      <c r="U282" s="107">
        <f t="shared" si="89"/>
        <v>1100.7149922377469</v>
      </c>
      <c r="V282" s="107">
        <f t="shared" si="89"/>
        <v>1100.7149922377469</v>
      </c>
      <c r="W282" s="135">
        <v>2023</v>
      </c>
      <c r="X282" s="34">
        <v>1826494.26</v>
      </c>
      <c r="Y282" s="34">
        <f>+(K282*9.1+L282*18.19)*12</f>
        <v>541621.07999999996</v>
      </c>
      <c r="AA282" s="35">
        <f>+N282-'[5]Приложение № 2'!E260</f>
        <v>3749161.0999999996</v>
      </c>
      <c r="AD282" s="35">
        <f>+N282-'[5]Приложение № 2'!E260</f>
        <v>3749161.0999999996</v>
      </c>
      <c r="AP282" s="77">
        <f>+N282-'Приложение №2'!E282</f>
        <v>0</v>
      </c>
      <c r="AQ282" s="34">
        <f>2320931.87-204954.46</f>
        <v>2115977.41</v>
      </c>
      <c r="AR282" s="1">
        <f t="shared" si="93"/>
        <v>505909.8</v>
      </c>
      <c r="AS282" s="1">
        <f>+(K282*10+L282*20)*12*30-70591.75</f>
        <v>17785048.25</v>
      </c>
      <c r="AT282" s="28">
        <f t="shared" si="90"/>
        <v>-14947499.17</v>
      </c>
      <c r="AU282" s="28">
        <f>+P282-'[6]Приложение №1'!$P272</f>
        <v>0</v>
      </c>
      <c r="AV282" s="28">
        <f>+Q282-'[6]Приложение №1'!$Q272</f>
        <v>0</v>
      </c>
      <c r="AW282" s="28">
        <f>+R282-'[6]Приложение №1'!$R272</f>
        <v>0</v>
      </c>
      <c r="AX282" s="28">
        <f>+S282-'[6]Приложение №1'!$S272</f>
        <v>0</v>
      </c>
      <c r="AY282" s="28">
        <f>+T282-'[6]Приложение №1'!$T272</f>
        <v>0</v>
      </c>
    </row>
    <row r="283" spans="1:51" s="34" customFormat="1" x14ac:dyDescent="0.25">
      <c r="A283" s="137">
        <f t="shared" si="92"/>
        <v>265</v>
      </c>
      <c r="B283" s="138">
        <f t="shared" si="92"/>
        <v>77</v>
      </c>
      <c r="C283" s="120" t="s">
        <v>51</v>
      </c>
      <c r="D283" s="120" t="s">
        <v>460</v>
      </c>
      <c r="E283" s="121" t="s">
        <v>113</v>
      </c>
      <c r="F283" s="121"/>
      <c r="G283" s="121" t="s">
        <v>83</v>
      </c>
      <c r="H283" s="121" t="s">
        <v>101</v>
      </c>
      <c r="I283" s="121" t="s">
        <v>101</v>
      </c>
      <c r="J283" s="107">
        <v>4040.3</v>
      </c>
      <c r="K283" s="107">
        <v>3442.7</v>
      </c>
      <c r="L283" s="107">
        <v>0</v>
      </c>
      <c r="M283" s="122">
        <v>150</v>
      </c>
      <c r="N283" s="133">
        <f t="shared" si="87"/>
        <v>3841382.1100000003</v>
      </c>
      <c r="O283" s="107">
        <v>0</v>
      </c>
      <c r="P283" s="108"/>
      <c r="Q283" s="108">
        <v>0</v>
      </c>
      <c r="R283" s="108">
        <f>+AQ283+AR283</f>
        <v>1965896.65</v>
      </c>
      <c r="S283" s="108">
        <f>+'Приложение №2'!E283-'Приложение №1'!R283</f>
        <v>1875485.4600000004</v>
      </c>
      <c r="T283" s="108">
        <v>0</v>
      </c>
      <c r="U283" s="107">
        <f t="shared" si="89"/>
        <v>1115.8050686960817</v>
      </c>
      <c r="V283" s="107">
        <f t="shared" si="89"/>
        <v>1115.8050686960817</v>
      </c>
      <c r="W283" s="135">
        <v>2023</v>
      </c>
      <c r="X283" s="34">
        <v>1285748.18</v>
      </c>
      <c r="Y283" s="34">
        <f>+(K283*9.1+L283*18.19)*12</f>
        <v>375942.83999999997</v>
      </c>
      <c r="AA283" s="35">
        <f>+N283-'[5]Приложение № 2'!E261</f>
        <v>2023581.9600000004</v>
      </c>
      <c r="AD283" s="35">
        <f>+N283-'[5]Приложение № 2'!E261</f>
        <v>2023581.9600000004</v>
      </c>
      <c r="AP283" s="77">
        <f>+N283-'Приложение №2'!E283</f>
        <v>0</v>
      </c>
      <c r="AQ283" s="34">
        <v>1614741.25</v>
      </c>
      <c r="AR283" s="1">
        <f t="shared" si="93"/>
        <v>351155.39999999997</v>
      </c>
      <c r="AS283" s="1">
        <f>+(K283*10+L283*20)*12*30</f>
        <v>12393720</v>
      </c>
      <c r="AT283" s="28">
        <f t="shared" si="90"/>
        <v>-10518234.539999999</v>
      </c>
      <c r="AU283" s="28">
        <f>+P283-'[6]Приложение №1'!$P273</f>
        <v>0</v>
      </c>
      <c r="AV283" s="28">
        <f>+Q283-'[6]Приложение №1'!$Q273</f>
        <v>0</v>
      </c>
      <c r="AW283" s="28">
        <f>+R283-'[6]Приложение №1'!$R273</f>
        <v>0</v>
      </c>
      <c r="AX283" s="28">
        <f>+S283-'[6]Приложение №1'!$S273</f>
        <v>0</v>
      </c>
      <c r="AY283" s="28">
        <f>+T283-'[6]Приложение №1'!$T273</f>
        <v>0</v>
      </c>
    </row>
    <row r="284" spans="1:51" x14ac:dyDescent="0.25">
      <c r="A284" s="137">
        <f t="shared" si="92"/>
        <v>266</v>
      </c>
      <c r="B284" s="138">
        <f t="shared" si="92"/>
        <v>78</v>
      </c>
      <c r="C284" s="120" t="s">
        <v>51</v>
      </c>
      <c r="D284" s="120" t="s">
        <v>461</v>
      </c>
      <c r="E284" s="121">
        <v>1973</v>
      </c>
      <c r="F284" s="121">
        <v>2013</v>
      </c>
      <c r="G284" s="121" t="s">
        <v>43</v>
      </c>
      <c r="H284" s="121">
        <v>5</v>
      </c>
      <c r="I284" s="121">
        <v>6</v>
      </c>
      <c r="J284" s="107">
        <v>5136.8500000000004</v>
      </c>
      <c r="K284" s="107">
        <v>4692.05</v>
      </c>
      <c r="L284" s="107">
        <v>0</v>
      </c>
      <c r="M284" s="122">
        <v>215</v>
      </c>
      <c r="N284" s="133">
        <f t="shared" si="87"/>
        <v>1998837.3649560001</v>
      </c>
      <c r="O284" s="107"/>
      <c r="P284" s="108"/>
      <c r="Q284" s="108"/>
      <c r="R284" s="108">
        <f>+'Приложение №2'!E284</f>
        <v>1998837.3649560001</v>
      </c>
      <c r="S284" s="108">
        <f>+'Приложение №2'!E284-'Приложение №1'!R284</f>
        <v>0</v>
      </c>
      <c r="T284" s="108">
        <v>0</v>
      </c>
      <c r="U284" s="107">
        <f t="shared" si="89"/>
        <v>426.00512887884827</v>
      </c>
      <c r="V284" s="107">
        <f t="shared" si="89"/>
        <v>426.00512887884827</v>
      </c>
      <c r="W284" s="135">
        <v>2023</v>
      </c>
      <c r="X284" s="28" t="e">
        <f>+#REF!-'[1]Приложение №1'!$P653</f>
        <v>#REF!</v>
      </c>
      <c r="Z284" s="30">
        <f t="shared" ref="Z284:Z295" si="94">SUM(AA284:AO284)</f>
        <v>27853394.144955996</v>
      </c>
      <c r="AA284" s="26">
        <v>0</v>
      </c>
      <c r="AB284" s="26">
        <v>0</v>
      </c>
      <c r="AC284" s="26">
        <v>0</v>
      </c>
      <c r="AD284" s="26">
        <v>0</v>
      </c>
      <c r="AE284" s="26">
        <v>1990543.04</v>
      </c>
      <c r="AF284" s="26"/>
      <c r="AG284" s="26">
        <v>0</v>
      </c>
      <c r="AH284" s="26">
        <v>0</v>
      </c>
      <c r="AI284" s="26">
        <v>0</v>
      </c>
      <c r="AJ284" s="26">
        <v>0</v>
      </c>
      <c r="AK284" s="26">
        <v>10718809.191245399</v>
      </c>
      <c r="AL284" s="26">
        <v>11561490.38701188</v>
      </c>
      <c r="AM284" s="26">
        <v>2826217.2920000004</v>
      </c>
      <c r="AN284" s="31">
        <v>260814.88320000001</v>
      </c>
      <c r="AO284" s="32">
        <v>495519.35149872006</v>
      </c>
      <c r="AP284" s="77">
        <f>+N284-'Приложение №2'!E284</f>
        <v>0</v>
      </c>
      <c r="AQ284" s="1">
        <v>2285167.23</v>
      </c>
      <c r="AR284" s="1">
        <f t="shared" si="93"/>
        <v>478589.1</v>
      </c>
      <c r="AS284" s="1">
        <f>+(K284*10+L284*20)*12*30</f>
        <v>16891380</v>
      </c>
      <c r="AT284" s="28">
        <f t="shared" si="90"/>
        <v>-16891380</v>
      </c>
      <c r="AU284" s="28">
        <f>+P284-'[6]Приложение №1'!$P274</f>
        <v>-2983667.61</v>
      </c>
      <c r="AV284" s="28">
        <f>+Q284-'[6]Приложение №1'!$Q274</f>
        <v>0</v>
      </c>
      <c r="AW284" s="28">
        <f>+R284-'[6]Приложение №1'!$R274</f>
        <v>0</v>
      </c>
      <c r="AX284" s="28">
        <f>+S284-'[6]Приложение №1'!$S274</f>
        <v>0</v>
      </c>
      <c r="AY284" s="28">
        <f>+T284-'[6]Приложение №1'!$T274</f>
        <v>0</v>
      </c>
    </row>
    <row r="285" spans="1:51" x14ac:dyDescent="0.25">
      <c r="A285" s="137">
        <f t="shared" si="92"/>
        <v>267</v>
      </c>
      <c r="B285" s="138">
        <f t="shared" si="92"/>
        <v>79</v>
      </c>
      <c r="C285" s="120" t="s">
        <v>51</v>
      </c>
      <c r="D285" s="120" t="s">
        <v>462</v>
      </c>
      <c r="E285" s="121">
        <v>1975</v>
      </c>
      <c r="F285" s="121">
        <v>2013</v>
      </c>
      <c r="G285" s="121" t="s">
        <v>43</v>
      </c>
      <c r="H285" s="121">
        <v>4</v>
      </c>
      <c r="I285" s="121">
        <v>6</v>
      </c>
      <c r="J285" s="107">
        <v>4262.6000000000004</v>
      </c>
      <c r="K285" s="107">
        <v>3725.7</v>
      </c>
      <c r="L285" s="107">
        <v>243.2</v>
      </c>
      <c r="M285" s="122">
        <v>159</v>
      </c>
      <c r="N285" s="133">
        <f t="shared" si="87"/>
        <v>10674924.839939507</v>
      </c>
      <c r="O285" s="107"/>
      <c r="P285" s="108">
        <v>2143246.1167999995</v>
      </c>
      <c r="Q285" s="108"/>
      <c r="R285" s="108">
        <f>+AQ285+AR285</f>
        <v>775614.69559999998</v>
      </c>
      <c r="S285" s="108">
        <f>+AS285</f>
        <v>4780661.1140000001</v>
      </c>
      <c r="T285" s="108">
        <f>+'Приложение №2'!E285-'Приложение №1'!P285-'Приложение №1'!R285-'Приложение №1'!S285</f>
        <v>2975402.9135395074</v>
      </c>
      <c r="U285" s="107">
        <f t="shared" si="89"/>
        <v>2689.6431857541152</v>
      </c>
      <c r="V285" s="107">
        <f t="shared" si="89"/>
        <v>2689.6431857541152</v>
      </c>
      <c r="W285" s="135">
        <v>2023</v>
      </c>
      <c r="X285" s="28" t="e">
        <f>+#REF!-'[1]Приложение №1'!$P654</f>
        <v>#REF!</v>
      </c>
      <c r="Z285" s="30">
        <f t="shared" si="94"/>
        <v>40281151.460000001</v>
      </c>
      <c r="AA285" s="26">
        <v>9306102.4321519788</v>
      </c>
      <c r="AB285" s="26">
        <v>0</v>
      </c>
      <c r="AC285" s="26">
        <v>0</v>
      </c>
      <c r="AD285" s="26">
        <v>0</v>
      </c>
      <c r="AE285" s="26">
        <v>0</v>
      </c>
      <c r="AF285" s="26"/>
      <c r="AG285" s="26">
        <v>357100.62596124003</v>
      </c>
      <c r="AH285" s="26">
        <v>0</v>
      </c>
      <c r="AI285" s="26">
        <v>17012971.210712399</v>
      </c>
      <c r="AJ285" s="26">
        <v>0</v>
      </c>
      <c r="AK285" s="26">
        <v>8833213.4125485606</v>
      </c>
      <c r="AL285" s="26">
        <v>0</v>
      </c>
      <c r="AM285" s="26">
        <v>3592433.8741000001</v>
      </c>
      <c r="AN285" s="31">
        <v>402811.51459999999</v>
      </c>
      <c r="AO285" s="32">
        <v>776518.38992582005</v>
      </c>
      <c r="AP285" s="77">
        <f>+N285-'Приложение №2'!E285</f>
        <v>0</v>
      </c>
      <c r="AQ285" s="1">
        <f>1889670.92-1080583.3044-463107.12</f>
        <v>345980.49559999991</v>
      </c>
      <c r="AR285" s="1">
        <f t="shared" si="93"/>
        <v>429634.2</v>
      </c>
      <c r="AS285" s="1">
        <f>+(K285*10+L285*20)*12*30-4573.626-647859.33-9730465.93</f>
        <v>4780661.1140000001</v>
      </c>
      <c r="AT285" s="28">
        <f t="shared" si="90"/>
        <v>0</v>
      </c>
      <c r="AU285" s="28">
        <f>+P285-'[6]Приложение №1'!$P275</f>
        <v>0</v>
      </c>
      <c r="AV285" s="28">
        <f>+Q285-'[6]Приложение №1'!$Q275</f>
        <v>0</v>
      </c>
      <c r="AW285" s="28">
        <f>+R285-'[6]Приложение №1'!$R275</f>
        <v>0</v>
      </c>
      <c r="AX285" s="28">
        <f>+S285-'[6]Приложение №1'!$S275</f>
        <v>0</v>
      </c>
      <c r="AY285" s="28">
        <f>+T285-'[6]Приложение №1'!$T275</f>
        <v>800407.10223950818</v>
      </c>
    </row>
    <row r="286" spans="1:51" x14ac:dyDescent="0.25">
      <c r="A286" s="137">
        <f t="shared" si="92"/>
        <v>268</v>
      </c>
      <c r="B286" s="138">
        <f t="shared" si="92"/>
        <v>80</v>
      </c>
      <c r="C286" s="120" t="s">
        <v>51</v>
      </c>
      <c r="D286" s="120" t="s">
        <v>463</v>
      </c>
      <c r="E286" s="121">
        <v>1974</v>
      </c>
      <c r="F286" s="121">
        <v>2012</v>
      </c>
      <c r="G286" s="121" t="s">
        <v>43</v>
      </c>
      <c r="H286" s="121">
        <v>4</v>
      </c>
      <c r="I286" s="121">
        <v>4</v>
      </c>
      <c r="J286" s="107">
        <v>3917</v>
      </c>
      <c r="K286" s="107">
        <v>3431.9</v>
      </c>
      <c r="L286" s="107">
        <v>0</v>
      </c>
      <c r="M286" s="122">
        <v>163</v>
      </c>
      <c r="N286" s="133">
        <f t="shared" si="87"/>
        <v>9641868.1700000018</v>
      </c>
      <c r="O286" s="107"/>
      <c r="P286" s="108">
        <v>1511702.0514524882</v>
      </c>
      <c r="Q286" s="108"/>
      <c r="R286" s="108">
        <f>+AQ286+AR286</f>
        <v>1989936.72</v>
      </c>
      <c r="S286" s="108">
        <f>+'Приложение №2'!E286-'Приложение №1'!P286-'Приложение №1'!Q286-'Приложение №1'!R286</f>
        <v>6140229.3985475125</v>
      </c>
      <c r="T286" s="108">
        <f>+'Приложение №2'!E286-'Приложение №1'!P286-'Приложение №1'!R286-'Приложение №1'!S286</f>
        <v>0</v>
      </c>
      <c r="U286" s="107">
        <f t="shared" si="89"/>
        <v>2809.4840088580672</v>
      </c>
      <c r="V286" s="107">
        <f t="shared" si="89"/>
        <v>2809.4840088580672</v>
      </c>
      <c r="W286" s="135">
        <v>2023</v>
      </c>
      <c r="X286" s="28" t="e">
        <f>+#REF!-'[1]Приложение №1'!$P397</f>
        <v>#REF!</v>
      </c>
      <c r="Z286" s="30">
        <f t="shared" si="94"/>
        <v>9641868.1699999999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/>
      <c r="AG286" s="26">
        <v>0</v>
      </c>
      <c r="AH286" s="26">
        <v>0</v>
      </c>
      <c r="AI286" s="26">
        <v>0</v>
      </c>
      <c r="AJ286" s="26">
        <v>0</v>
      </c>
      <c r="AK286" s="26">
        <v>0</v>
      </c>
      <c r="AL286" s="26">
        <v>8397623.6501341797</v>
      </c>
      <c r="AM286" s="26">
        <v>964186.81700000004</v>
      </c>
      <c r="AN286" s="31">
        <v>96418.681700000001</v>
      </c>
      <c r="AO286" s="32">
        <v>183639.02116581998</v>
      </c>
      <c r="AP286" s="77">
        <f>+N286-'Приложение №2'!E286</f>
        <v>0</v>
      </c>
      <c r="AQ286" s="34">
        <v>1639882.92</v>
      </c>
      <c r="AR286" s="1">
        <f t="shared" si="93"/>
        <v>350053.8</v>
      </c>
      <c r="AS286" s="1">
        <f>+(K286*10+L286*20)*12*30</f>
        <v>12354840</v>
      </c>
      <c r="AT286" s="28">
        <f t="shared" si="90"/>
        <v>-6214610.6014524875</v>
      </c>
      <c r="AU286" s="28">
        <f>+P286-'[6]Приложение №1'!$P276</f>
        <v>0</v>
      </c>
      <c r="AV286" s="28">
        <f>+Q286-'[6]Приложение №1'!$Q276</f>
        <v>0</v>
      </c>
      <c r="AW286" s="28">
        <f>+R286-'[6]Приложение №1'!$R276</f>
        <v>0</v>
      </c>
      <c r="AX286" s="28">
        <f>+S286-'[6]Приложение №1'!$S276</f>
        <v>0</v>
      </c>
      <c r="AY286" s="28">
        <f>+T286-'[6]Приложение №1'!$T276</f>
        <v>0</v>
      </c>
    </row>
    <row r="287" spans="1:51" x14ac:dyDescent="0.25">
      <c r="A287" s="137">
        <f t="shared" si="92"/>
        <v>269</v>
      </c>
      <c r="B287" s="138">
        <f t="shared" si="92"/>
        <v>81</v>
      </c>
      <c r="C287" s="120" t="s">
        <v>51</v>
      </c>
      <c r="D287" s="120" t="s">
        <v>402</v>
      </c>
      <c r="E287" s="121">
        <v>1977</v>
      </c>
      <c r="F287" s="121">
        <v>1977</v>
      </c>
      <c r="G287" s="121" t="s">
        <v>83</v>
      </c>
      <c r="H287" s="121">
        <v>4</v>
      </c>
      <c r="I287" s="121">
        <v>6</v>
      </c>
      <c r="J287" s="107">
        <v>5672.9</v>
      </c>
      <c r="K287" s="107">
        <v>4964.7</v>
      </c>
      <c r="L287" s="107">
        <v>0</v>
      </c>
      <c r="M287" s="122">
        <v>207</v>
      </c>
      <c r="N287" s="123">
        <f t="shared" si="87"/>
        <v>12464372.530428801</v>
      </c>
      <c r="O287" s="107"/>
      <c r="P287" s="108">
        <f>+'Приложение №2'!E287-'Приложение №1'!R287-'Приложение №1'!S287</f>
        <v>5065255.9888576064</v>
      </c>
      <c r="Q287" s="108"/>
      <c r="R287" s="108">
        <f>+AQ287+AR287</f>
        <v>1144441.2599999998</v>
      </c>
      <c r="S287" s="108">
        <f>+AS287</f>
        <v>6254675.2815711945</v>
      </c>
      <c r="T287" s="107">
        <f>+'Приложение №2'!E287-'Приложение №1'!P287-'Приложение №1'!Q287-'Приложение №1'!R287-'Приложение №1'!S287</f>
        <v>0</v>
      </c>
      <c r="U287" s="108">
        <f t="shared" si="89"/>
        <v>2510.5993374078598</v>
      </c>
      <c r="V287" s="108">
        <f t="shared" si="89"/>
        <v>2510.5993374078598</v>
      </c>
      <c r="W287" s="135">
        <v>2023</v>
      </c>
      <c r="X287" s="28" t="e">
        <f>+#REF!-'[1]Приложение №1'!$P1232</f>
        <v>#REF!</v>
      </c>
      <c r="Z287" s="30">
        <f t="shared" si="94"/>
        <v>40803772.100000001</v>
      </c>
      <c r="AA287" s="26">
        <v>8274934.6457723388</v>
      </c>
      <c r="AB287" s="26">
        <v>4785620.9278290002</v>
      </c>
      <c r="AC287" s="26">
        <v>5058755.6557213198</v>
      </c>
      <c r="AD287" s="26">
        <v>3857344.1921599195</v>
      </c>
      <c r="AE287" s="26">
        <v>1540930.0457111399</v>
      </c>
      <c r="AF287" s="26"/>
      <c r="AG287" s="26">
        <v>411179.32298520009</v>
      </c>
      <c r="AH287" s="26">
        <v>0</v>
      </c>
      <c r="AI287" s="26">
        <v>0</v>
      </c>
      <c r="AJ287" s="26">
        <v>0</v>
      </c>
      <c r="AK287" s="26">
        <v>0</v>
      </c>
      <c r="AL287" s="26">
        <v>11247866.888920201</v>
      </c>
      <c r="AM287" s="26">
        <v>4449861.0098000001</v>
      </c>
      <c r="AN287" s="31">
        <v>408037.72100000002</v>
      </c>
      <c r="AO287" s="32">
        <v>769241.69010087999</v>
      </c>
      <c r="AP287" s="77">
        <f>+N287-'Приложение №2'!E287</f>
        <v>0</v>
      </c>
      <c r="AQ287" s="28">
        <f>2390424.58-114155.72-R78</f>
        <v>638041.85999999987</v>
      </c>
      <c r="AR287" s="1">
        <f t="shared" si="93"/>
        <v>506399.39999999997</v>
      </c>
      <c r="AS287" s="1">
        <f>+(K287*10+L287*20)*12*30-S78</f>
        <v>6254675.2815711945</v>
      </c>
      <c r="AT287" s="28">
        <f t="shared" si="90"/>
        <v>0</v>
      </c>
    </row>
    <row r="288" spans="1:51" x14ac:dyDescent="0.25">
      <c r="A288" s="137">
        <f t="shared" si="92"/>
        <v>270</v>
      </c>
      <c r="B288" s="138">
        <f t="shared" si="92"/>
        <v>82</v>
      </c>
      <c r="C288" s="120" t="s">
        <v>51</v>
      </c>
      <c r="D288" s="120" t="s">
        <v>464</v>
      </c>
      <c r="E288" s="121">
        <v>1977</v>
      </c>
      <c r="F288" s="121">
        <v>2013</v>
      </c>
      <c r="G288" s="121" t="s">
        <v>83</v>
      </c>
      <c r="H288" s="121">
        <v>4</v>
      </c>
      <c r="I288" s="121">
        <v>6</v>
      </c>
      <c r="J288" s="107">
        <v>5713.5</v>
      </c>
      <c r="K288" s="107">
        <v>5033.6000000000004</v>
      </c>
      <c r="L288" s="107">
        <v>0</v>
      </c>
      <c r="M288" s="122">
        <v>226</v>
      </c>
      <c r="N288" s="133">
        <f t="shared" si="87"/>
        <v>2005001.28</v>
      </c>
      <c r="O288" s="107"/>
      <c r="P288" s="108"/>
      <c r="Q288" s="108"/>
      <c r="R288" s="108">
        <f>+'Приложение №2'!E288</f>
        <v>2005001.28</v>
      </c>
      <c r="S288" s="108">
        <f>+'Приложение №2'!E288-'Приложение №1'!R288</f>
        <v>0</v>
      </c>
      <c r="T288" s="108">
        <v>0</v>
      </c>
      <c r="U288" s="107">
        <f t="shared" si="89"/>
        <v>398.32352193261283</v>
      </c>
      <c r="V288" s="107">
        <f t="shared" si="89"/>
        <v>398.32352193261283</v>
      </c>
      <c r="W288" s="135">
        <v>2023</v>
      </c>
      <c r="X288" s="28" t="e">
        <f>+#REF!-'[1]Приложение №1'!$P658</f>
        <v>#REF!</v>
      </c>
      <c r="Z288" s="30">
        <f t="shared" si="94"/>
        <v>2266972.17</v>
      </c>
      <c r="AA288" s="26">
        <v>0</v>
      </c>
      <c r="AB288" s="26">
        <v>0</v>
      </c>
      <c r="AC288" s="26">
        <v>0</v>
      </c>
      <c r="AD288" s="26">
        <v>0</v>
      </c>
      <c r="AE288" s="26">
        <v>1990601.96</v>
      </c>
      <c r="AF288" s="26"/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6">
        <v>0</v>
      </c>
      <c r="AM288" s="26">
        <v>251970.89</v>
      </c>
      <c r="AN288" s="31">
        <v>10000</v>
      </c>
      <c r="AO288" s="32">
        <v>14399.32</v>
      </c>
      <c r="AP288" s="77">
        <f>+N288-'Приложение №2'!E288</f>
        <v>0</v>
      </c>
      <c r="AQ288" s="1">
        <v>2355088.06</v>
      </c>
      <c r="AR288" s="1">
        <f t="shared" si="93"/>
        <v>513427.20000000001</v>
      </c>
      <c r="AS288" s="1">
        <f>+(K288*10+L288*20)*12*30</f>
        <v>18120960</v>
      </c>
      <c r="AT288" s="28">
        <f t="shared" si="90"/>
        <v>-18120960</v>
      </c>
      <c r="AU288" s="28">
        <f>+P288-'[6]Приложение №1'!$P277</f>
        <v>-1020018.4912000014</v>
      </c>
      <c r="AV288" s="28">
        <f>+Q288-'[6]Приложение №1'!$Q277</f>
        <v>0</v>
      </c>
      <c r="AW288" s="28">
        <f>+R288-'[6]Приложение №1'!$R277</f>
        <v>0</v>
      </c>
      <c r="AX288" s="28">
        <f>+S288-'[6]Приложение №1'!$S277</f>
        <v>0</v>
      </c>
      <c r="AY288" s="28">
        <f>+T288-'[6]Приложение №1'!$T277</f>
        <v>0</v>
      </c>
    </row>
    <row r="289" spans="1:51" x14ac:dyDescent="0.25">
      <c r="A289" s="137">
        <f t="shared" si="92"/>
        <v>271</v>
      </c>
      <c r="B289" s="138">
        <f t="shared" si="92"/>
        <v>83</v>
      </c>
      <c r="C289" s="120" t="s">
        <v>51</v>
      </c>
      <c r="D289" s="120" t="s">
        <v>403</v>
      </c>
      <c r="E289" s="121">
        <v>1974</v>
      </c>
      <c r="F289" s="121">
        <v>2013</v>
      </c>
      <c r="G289" s="121" t="s">
        <v>83</v>
      </c>
      <c r="H289" s="121">
        <v>4</v>
      </c>
      <c r="I289" s="121">
        <v>4</v>
      </c>
      <c r="J289" s="107">
        <v>3890.5</v>
      </c>
      <c r="K289" s="107">
        <v>3406.6</v>
      </c>
      <c r="L289" s="107">
        <v>0</v>
      </c>
      <c r="M289" s="122">
        <v>175</v>
      </c>
      <c r="N289" s="133">
        <f t="shared" si="87"/>
        <v>1363080.4118900001</v>
      </c>
      <c r="O289" s="107"/>
      <c r="P289" s="108">
        <f>+'Приложение №2'!E289-'Приложение №1'!R289-'Приложение №1'!S289</f>
        <v>989123.26378000085</v>
      </c>
      <c r="Q289" s="108"/>
      <c r="R289" s="108">
        <f>+AR289</f>
        <v>347473.2</v>
      </c>
      <c r="S289" s="108">
        <f>+AS289</f>
        <v>26483.948109999299</v>
      </c>
      <c r="T289" s="108">
        <v>0</v>
      </c>
      <c r="U289" s="107">
        <f t="shared" si="89"/>
        <v>400.12928194974467</v>
      </c>
      <c r="V289" s="107">
        <f t="shared" si="89"/>
        <v>400.12928194974467</v>
      </c>
      <c r="W289" s="135">
        <v>2023</v>
      </c>
      <c r="X289" s="28" t="e">
        <f>+#REF!-'[1]Приложение №1'!$P987</f>
        <v>#REF!</v>
      </c>
      <c r="Z289" s="30">
        <f t="shared" si="94"/>
        <v>24100395.781889997</v>
      </c>
      <c r="AA289" s="26">
        <v>0</v>
      </c>
      <c r="AB289" s="26">
        <v>0</v>
      </c>
      <c r="AC289" s="26">
        <v>0</v>
      </c>
      <c r="AD289" s="26">
        <v>0</v>
      </c>
      <c r="AE289" s="26">
        <v>1356671.24</v>
      </c>
      <c r="AF289" s="26"/>
      <c r="AG289" s="26">
        <v>0</v>
      </c>
      <c r="AH289" s="26">
        <v>0</v>
      </c>
      <c r="AI289" s="26">
        <v>0</v>
      </c>
      <c r="AJ289" s="26">
        <v>0</v>
      </c>
      <c r="AK289" s="26">
        <v>19641111.600080881</v>
      </c>
      <c r="AL289" s="26">
        <v>0</v>
      </c>
      <c r="AM289" s="26">
        <v>2439179.8219999997</v>
      </c>
      <c r="AN289" s="31">
        <v>227512.61719999998</v>
      </c>
      <c r="AO289" s="32">
        <v>435920.50260911998</v>
      </c>
      <c r="AP289" s="77">
        <f>+N289-'Приложение №2'!E289</f>
        <v>0</v>
      </c>
      <c r="AQ289" s="28">
        <f>1535272.52-R79</f>
        <v>348389.10000000009</v>
      </c>
      <c r="AR289" s="1">
        <f t="shared" si="93"/>
        <v>347473.2</v>
      </c>
      <c r="AS289" s="1">
        <f>+(K289*10+L289*20)*12*30-S79</f>
        <v>26483.948109999299</v>
      </c>
      <c r="AT289" s="28">
        <f t="shared" si="90"/>
        <v>0</v>
      </c>
      <c r="AU289" s="28">
        <f>+P289-'[6]Приложение №1'!$P278</f>
        <v>0</v>
      </c>
      <c r="AV289" s="28">
        <f>+Q289-'[6]Приложение №1'!$Q278</f>
        <v>0</v>
      </c>
      <c r="AW289" s="28">
        <f>+R289-'[6]Приложение №1'!$R278</f>
        <v>0</v>
      </c>
      <c r="AX289" s="28">
        <f>+S289-'[6]Приложение №1'!$S278</f>
        <v>0</v>
      </c>
      <c r="AY289" s="28">
        <f>+T289-'[6]Приложение №1'!$T278</f>
        <v>0</v>
      </c>
    </row>
    <row r="290" spans="1:51" x14ac:dyDescent="0.25">
      <c r="A290" s="137">
        <f t="shared" si="92"/>
        <v>272</v>
      </c>
      <c r="B290" s="138">
        <f t="shared" si="92"/>
        <v>84</v>
      </c>
      <c r="C290" s="120" t="s">
        <v>51</v>
      </c>
      <c r="D290" s="120" t="s">
        <v>465</v>
      </c>
      <c r="E290" s="121">
        <v>1978</v>
      </c>
      <c r="F290" s="121">
        <v>2013</v>
      </c>
      <c r="G290" s="121" t="s">
        <v>83</v>
      </c>
      <c r="H290" s="121">
        <v>5</v>
      </c>
      <c r="I290" s="121">
        <v>4</v>
      </c>
      <c r="J290" s="107">
        <v>4846.8</v>
      </c>
      <c r="K290" s="107">
        <v>4276.3999999999996</v>
      </c>
      <c r="L290" s="107">
        <v>0</v>
      </c>
      <c r="M290" s="122">
        <v>174</v>
      </c>
      <c r="N290" s="123">
        <f t="shared" si="87"/>
        <v>7294260.8670106996</v>
      </c>
      <c r="O290" s="107"/>
      <c r="P290" s="108">
        <v>1025756.5499999998</v>
      </c>
      <c r="Q290" s="108"/>
      <c r="R290" s="108">
        <f>+AQ290+AR290</f>
        <v>2316702.7399999998</v>
      </c>
      <c r="S290" s="108">
        <f>+'Приложение №2'!E290-'Приложение №1'!R290-P290</f>
        <v>3951801.5770106995</v>
      </c>
      <c r="T290" s="107">
        <f>+'Приложение №2'!E290-'Приложение №1'!P290-'Приложение №1'!Q290-'Приложение №1'!R290-'Приложение №1'!S290</f>
        <v>0</v>
      </c>
      <c r="U290" s="108">
        <f>$N290/($K290+$L290)</f>
        <v>1705.7012597069265</v>
      </c>
      <c r="V290" s="108">
        <f>$N290/($K290+$L290)</f>
        <v>1705.7012597069265</v>
      </c>
      <c r="W290" s="135">
        <v>2023</v>
      </c>
      <c r="X290" s="28" t="e">
        <f>+#REF!-'[1]Приложение №1'!$P1033</f>
        <v>#REF!</v>
      </c>
      <c r="Z290" s="30">
        <f>SUM(AA290:AO290)</f>
        <v>10000151.410000002</v>
      </c>
      <c r="AA290" s="26">
        <v>7149539.5285750804</v>
      </c>
      <c r="AB290" s="26">
        <v>0</v>
      </c>
      <c r="AC290" s="26">
        <v>0</v>
      </c>
      <c r="AD290" s="26">
        <v>0</v>
      </c>
      <c r="AE290" s="26">
        <v>1331362.8144142204</v>
      </c>
      <c r="AF290" s="26"/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1233787.3953999998</v>
      </c>
      <c r="AN290" s="31">
        <v>100001.5141</v>
      </c>
      <c r="AO290" s="32">
        <v>185460.15751070005</v>
      </c>
      <c r="AP290" s="77">
        <f>+N290-'Приложение №2'!E290</f>
        <v>0</v>
      </c>
      <c r="AQ290" s="1">
        <f>2003447.04-122937.1</f>
        <v>1880509.94</v>
      </c>
      <c r="AR290" s="1">
        <f>+(K290*10+L290*20)*12*0.85</f>
        <v>436192.8</v>
      </c>
      <c r="AS290" s="1">
        <f>+(K290*10+L290*20)*12*30</f>
        <v>15395040</v>
      </c>
      <c r="AT290" s="28">
        <f>+S290-AS290</f>
        <v>-11443238.422989301</v>
      </c>
    </row>
    <row r="291" spans="1:51" x14ac:dyDescent="0.25">
      <c r="A291" s="137">
        <f t="shared" si="92"/>
        <v>273</v>
      </c>
      <c r="B291" s="138">
        <f t="shared" si="92"/>
        <v>85</v>
      </c>
      <c r="C291" s="120" t="s">
        <v>51</v>
      </c>
      <c r="D291" s="120" t="s">
        <v>466</v>
      </c>
      <c r="E291" s="121">
        <v>1978</v>
      </c>
      <c r="F291" s="121">
        <v>2008</v>
      </c>
      <c r="G291" s="121" t="s">
        <v>83</v>
      </c>
      <c r="H291" s="121">
        <v>5</v>
      </c>
      <c r="I291" s="121">
        <v>4</v>
      </c>
      <c r="J291" s="107">
        <v>4929.7</v>
      </c>
      <c r="K291" s="107">
        <v>4335.1000000000004</v>
      </c>
      <c r="L291" s="107">
        <v>0</v>
      </c>
      <c r="M291" s="122">
        <v>213</v>
      </c>
      <c r="N291" s="133">
        <f t="shared" si="87"/>
        <v>30038627.562941588</v>
      </c>
      <c r="O291" s="107"/>
      <c r="P291" s="108">
        <v>5725470.5333099999</v>
      </c>
      <c r="Q291" s="108"/>
      <c r="R291" s="108">
        <f>+AQ291+AR291</f>
        <v>2519251.88</v>
      </c>
      <c r="S291" s="108">
        <f>+AS291</f>
        <v>15606360</v>
      </c>
      <c r="T291" s="108">
        <f>+'Приложение №2'!E291-'Приложение №1'!P291-'Приложение №1'!R291-'Приложение №1'!S291</f>
        <v>6187545.1496315897</v>
      </c>
      <c r="U291" s="107">
        <f t="shared" si="89"/>
        <v>6929.1660083831021</v>
      </c>
      <c r="V291" s="107">
        <f t="shared" si="89"/>
        <v>6929.1660083831021</v>
      </c>
      <c r="W291" s="135">
        <v>2023</v>
      </c>
      <c r="X291" s="28" t="e">
        <f>+#REF!-'[1]Приложение №1'!$P988</f>
        <v>#REF!</v>
      </c>
      <c r="Z291" s="30">
        <f t="shared" si="94"/>
        <v>44837101.50993</v>
      </c>
      <c r="AA291" s="26">
        <v>0</v>
      </c>
      <c r="AB291" s="26">
        <v>4199173.3275891002</v>
      </c>
      <c r="AC291" s="26">
        <v>4438837.1277801599</v>
      </c>
      <c r="AD291" s="26">
        <v>3384651.0431630402</v>
      </c>
      <c r="AE291" s="26">
        <v>1471946.54</v>
      </c>
      <c r="AF291" s="26"/>
      <c r="AG291" s="26">
        <v>360791.89596239995</v>
      </c>
      <c r="AH291" s="26">
        <v>0</v>
      </c>
      <c r="AI291" s="26">
        <v>0</v>
      </c>
      <c r="AJ291" s="26">
        <v>0</v>
      </c>
      <c r="AK291" s="26">
        <v>25094924.378064241</v>
      </c>
      <c r="AL291" s="26">
        <v>0</v>
      </c>
      <c r="AM291" s="26">
        <v>4627048.3442000002</v>
      </c>
      <c r="AN291" s="31">
        <v>433511.50789999997</v>
      </c>
      <c r="AO291" s="32">
        <v>826217.34527106001</v>
      </c>
      <c r="AP291" s="77">
        <f>+N291-'Приложение №2'!E291</f>
        <v>0</v>
      </c>
      <c r="AQ291" s="28">
        <f>2077071.68</f>
        <v>2077071.68</v>
      </c>
      <c r="AR291" s="1">
        <f t="shared" si="93"/>
        <v>442180.2</v>
      </c>
      <c r="AS291" s="1">
        <f>+(K291*10+L291*20)*12*30</f>
        <v>15606360</v>
      </c>
      <c r="AT291" s="28">
        <f t="shared" si="90"/>
        <v>0</v>
      </c>
      <c r="AU291" s="28">
        <f>+P291-'[6]Приложение №1'!$P279</f>
        <v>0</v>
      </c>
      <c r="AV291" s="28">
        <f>+Q291-'[6]Приложение №1'!$Q279</f>
        <v>0</v>
      </c>
      <c r="AW291" s="28">
        <f>+R291-'[6]Приложение №1'!$R279</f>
        <v>0</v>
      </c>
      <c r="AX291" s="28">
        <f>+S291-'[6]Приложение №1'!$S279</f>
        <v>0</v>
      </c>
      <c r="AY291" s="28">
        <f>+T291-'[6]Приложение №1'!$T279</f>
        <v>0</v>
      </c>
    </row>
    <row r="292" spans="1:51" x14ac:dyDescent="0.25">
      <c r="A292" s="137">
        <f t="shared" si="92"/>
        <v>274</v>
      </c>
      <c r="B292" s="138">
        <f t="shared" si="92"/>
        <v>86</v>
      </c>
      <c r="C292" s="120" t="s">
        <v>51</v>
      </c>
      <c r="D292" s="120" t="s">
        <v>409</v>
      </c>
      <c r="E292" s="121">
        <v>1981</v>
      </c>
      <c r="F292" s="121">
        <v>2009</v>
      </c>
      <c r="G292" s="121" t="s">
        <v>83</v>
      </c>
      <c r="H292" s="121">
        <v>5</v>
      </c>
      <c r="I292" s="121">
        <v>4</v>
      </c>
      <c r="J292" s="107">
        <v>6938.7</v>
      </c>
      <c r="K292" s="107">
        <v>6182.6</v>
      </c>
      <c r="L292" s="107">
        <v>0</v>
      </c>
      <c r="M292" s="122">
        <v>194</v>
      </c>
      <c r="N292" s="133">
        <f t="shared" si="87"/>
        <v>18165337.9167738</v>
      </c>
      <c r="O292" s="107"/>
      <c r="P292" s="108">
        <v>2076617.8699999992</v>
      </c>
      <c r="Q292" s="108"/>
      <c r="R292" s="108">
        <v>3054172.49</v>
      </c>
      <c r="S292" s="108">
        <v>6528683.9900000002</v>
      </c>
      <c r="T292" s="108">
        <f>+'Приложение №2'!E292-'Приложение №1'!P292-'Приложение №1'!Q292-'Приложение №1'!R292-'Приложение №1'!S292</f>
        <v>6505863.5667738002</v>
      </c>
      <c r="U292" s="107">
        <f t="shared" si="89"/>
        <v>2938.1389571982336</v>
      </c>
      <c r="V292" s="107">
        <f t="shared" si="89"/>
        <v>2938.1389571982336</v>
      </c>
      <c r="W292" s="135">
        <v>2023</v>
      </c>
      <c r="X292" s="28" t="e">
        <f>+#REF!-'[1]Приложение №1'!$P1213</f>
        <v>#REF!</v>
      </c>
      <c r="Z292" s="30">
        <f t="shared" si="94"/>
        <v>112490116.45000002</v>
      </c>
      <c r="AA292" s="26">
        <v>10300846.19123742</v>
      </c>
      <c r="AB292" s="26">
        <v>5957260.9616612401</v>
      </c>
      <c r="AC292" s="26">
        <v>6297265.9176991209</v>
      </c>
      <c r="AD292" s="26">
        <v>4801718.7991861207</v>
      </c>
      <c r="AE292" s="26">
        <v>1918188.3660231601</v>
      </c>
      <c r="AF292" s="26"/>
      <c r="AG292" s="26">
        <v>511846.3343322</v>
      </c>
      <c r="AH292" s="26">
        <v>0</v>
      </c>
      <c r="AI292" s="26">
        <v>18337074.5641356</v>
      </c>
      <c r="AJ292" s="26">
        <v>0</v>
      </c>
      <c r="AK292" s="26">
        <v>35601534.275782861</v>
      </c>
      <c r="AL292" s="26">
        <v>14001626.819054702</v>
      </c>
      <c r="AM292" s="26">
        <v>11500753.575800002</v>
      </c>
      <c r="AN292" s="31">
        <v>1124901.1645</v>
      </c>
      <c r="AO292" s="32">
        <v>2137099.4805875802</v>
      </c>
      <c r="AP292" s="77">
        <f>+N292-'Приложение №2'!E292</f>
        <v>0</v>
      </c>
      <c r="AQ292" s="28">
        <f>2933225.6-137130.98-R86</f>
        <v>616710.84000000032</v>
      </c>
      <c r="AR292" s="1">
        <f t="shared" si="93"/>
        <v>630625.19999999995</v>
      </c>
      <c r="AS292" s="1">
        <f>+(K292*10+L292*20)*12*30-S86</f>
        <v>5807839.7832261994</v>
      </c>
      <c r="AT292" s="28">
        <f t="shared" si="90"/>
        <v>720844.20677380078</v>
      </c>
      <c r="AU292" s="28">
        <f>+P292-'[6]Приложение №1'!$P280</f>
        <v>-2148178.1826084005</v>
      </c>
      <c r="AV292" s="28">
        <f>+Q292-'[6]Приложение №1'!$Q280</f>
        <v>0</v>
      </c>
      <c r="AW292" s="28">
        <f>+R292-'[6]Приложение №1'!$R280</f>
        <v>0</v>
      </c>
      <c r="AX292" s="28">
        <f>+S292-'[6]Приложение №1'!$S280</f>
        <v>1698600.6758346008</v>
      </c>
      <c r="AY292" s="28">
        <f>+T292-'[6]Приложение №1'!$T280</f>
        <v>6505863.5667738002</v>
      </c>
    </row>
    <row r="293" spans="1:51" x14ac:dyDescent="0.25">
      <c r="A293" s="137">
        <f t="shared" si="92"/>
        <v>275</v>
      </c>
      <c r="B293" s="138">
        <f t="shared" si="92"/>
        <v>87</v>
      </c>
      <c r="C293" s="120" t="s">
        <v>51</v>
      </c>
      <c r="D293" s="120" t="s">
        <v>171</v>
      </c>
      <c r="E293" s="121">
        <v>1990</v>
      </c>
      <c r="F293" s="121">
        <v>2009</v>
      </c>
      <c r="G293" s="121" t="s">
        <v>83</v>
      </c>
      <c r="H293" s="121">
        <v>5</v>
      </c>
      <c r="I293" s="121">
        <v>6</v>
      </c>
      <c r="J293" s="107">
        <v>5593.2</v>
      </c>
      <c r="K293" s="107">
        <v>4942</v>
      </c>
      <c r="L293" s="107">
        <v>0</v>
      </c>
      <c r="M293" s="122">
        <v>206</v>
      </c>
      <c r="N293" s="133">
        <f t="shared" si="87"/>
        <v>12818538.9</v>
      </c>
      <c r="O293" s="107"/>
      <c r="P293" s="108"/>
      <c r="Q293" s="108"/>
      <c r="R293" s="108">
        <f t="shared" ref="R293:R303" si="95">+AQ293+AR293</f>
        <v>2727972.42</v>
      </c>
      <c r="S293" s="108">
        <f>+'Приложение №2'!E293-'Приложение №1'!R293</f>
        <v>10090566.48</v>
      </c>
      <c r="T293" s="108">
        <v>0</v>
      </c>
      <c r="U293" s="107">
        <f t="shared" si="89"/>
        <v>2593.7958114123835</v>
      </c>
      <c r="V293" s="107">
        <f t="shared" si="89"/>
        <v>2593.7958114123835</v>
      </c>
      <c r="W293" s="135">
        <v>2023</v>
      </c>
      <c r="X293" s="28" t="e">
        <f>+#REF!-'[1]Приложение №1'!$P1036</f>
        <v>#REF!</v>
      </c>
      <c r="Z293" s="30">
        <f t="shared" si="94"/>
        <v>12818538.9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/>
      <c r="AG293" s="26">
        <v>0</v>
      </c>
      <c r="AH293" s="26">
        <v>0</v>
      </c>
      <c r="AI293" s="26">
        <v>0</v>
      </c>
      <c r="AJ293" s="26">
        <v>0</v>
      </c>
      <c r="AK293" s="26">
        <v>0</v>
      </c>
      <c r="AL293" s="26">
        <v>12317589.348944476</v>
      </c>
      <c r="AM293" s="26">
        <v>155875.03</v>
      </c>
      <c r="AN293" s="26">
        <v>75713.789329170002</v>
      </c>
      <c r="AO293" s="32">
        <v>269360.73172635579</v>
      </c>
      <c r="AP293" s="77">
        <f>+N293-'Приложение №2'!E293</f>
        <v>0</v>
      </c>
      <c r="AQ293" s="1">
        <v>2223888.42</v>
      </c>
      <c r="AR293" s="1">
        <f t="shared" si="93"/>
        <v>504084</v>
      </c>
      <c r="AS293" s="1">
        <f>+(K293*10+L293*20)*12*30</f>
        <v>17791200</v>
      </c>
      <c r="AT293" s="28">
        <f t="shared" si="90"/>
        <v>-7700633.5199999996</v>
      </c>
      <c r="AU293" s="28">
        <f>+P293-'[6]Приложение №1'!$P281</f>
        <v>0</v>
      </c>
      <c r="AV293" s="28">
        <f>+Q293-'[6]Приложение №1'!$Q281</f>
        <v>0</v>
      </c>
      <c r="AW293" s="28">
        <f>+R293-'[6]Приложение №1'!$R281</f>
        <v>0</v>
      </c>
      <c r="AX293" s="28">
        <f>+S293-'[6]Приложение №1'!$S281</f>
        <v>0</v>
      </c>
      <c r="AY293" s="28">
        <f>+T293-'[6]Приложение №1'!$T281</f>
        <v>0</v>
      </c>
    </row>
    <row r="294" spans="1:51" x14ac:dyDescent="0.25">
      <c r="A294" s="137">
        <f t="shared" si="92"/>
        <v>276</v>
      </c>
      <c r="B294" s="138">
        <f t="shared" si="92"/>
        <v>88</v>
      </c>
      <c r="C294" s="120" t="s">
        <v>51</v>
      </c>
      <c r="D294" s="120" t="s">
        <v>172</v>
      </c>
      <c r="E294" s="121">
        <v>1970</v>
      </c>
      <c r="F294" s="121">
        <v>2013</v>
      </c>
      <c r="G294" s="121" t="s">
        <v>43</v>
      </c>
      <c r="H294" s="121">
        <v>5</v>
      </c>
      <c r="I294" s="121">
        <v>4</v>
      </c>
      <c r="J294" s="107">
        <v>3068</v>
      </c>
      <c r="K294" s="107">
        <v>2483.8000000000002</v>
      </c>
      <c r="L294" s="107">
        <v>584.20000000000005</v>
      </c>
      <c r="M294" s="122">
        <v>142</v>
      </c>
      <c r="N294" s="133">
        <f t="shared" si="87"/>
        <v>15974969.295365319</v>
      </c>
      <c r="O294" s="107"/>
      <c r="P294" s="108">
        <v>3218407.5900000003</v>
      </c>
      <c r="Q294" s="108"/>
      <c r="R294" s="108">
        <f t="shared" si="95"/>
        <v>738446.42463467992</v>
      </c>
      <c r="S294" s="108">
        <f>+'Приложение №2'!E294-'Приложение №1'!R294-P294</f>
        <v>12018115.280730639</v>
      </c>
      <c r="T294" s="107"/>
      <c r="U294" s="108">
        <f t="shared" si="89"/>
        <v>5206.9652201321114</v>
      </c>
      <c r="V294" s="108">
        <f t="shared" si="89"/>
        <v>5206.9652201321114</v>
      </c>
      <c r="W294" s="135">
        <v>2023</v>
      </c>
      <c r="X294" s="28" t="e">
        <f>+#REF!-'[1]Приложение №1'!$P1641</f>
        <v>#REF!</v>
      </c>
      <c r="Z294" s="30">
        <f t="shared" si="94"/>
        <v>25875618.41</v>
      </c>
      <c r="AA294" s="26">
        <v>5945419.54417866</v>
      </c>
      <c r="AB294" s="26">
        <v>2118597.4078747798</v>
      </c>
      <c r="AC294" s="26">
        <v>2213462.8846331402</v>
      </c>
      <c r="AD294" s="26">
        <v>1385767.7235401999</v>
      </c>
      <c r="AE294" s="26">
        <v>0</v>
      </c>
      <c r="AF294" s="26"/>
      <c r="AG294" s="26">
        <v>228142.02967667999</v>
      </c>
      <c r="AH294" s="26">
        <v>0</v>
      </c>
      <c r="AI294" s="26">
        <v>10869131.540912401</v>
      </c>
      <c r="AJ294" s="26">
        <v>0</v>
      </c>
      <c r="AK294" s="26">
        <v>0</v>
      </c>
      <c r="AL294" s="26">
        <v>0</v>
      </c>
      <c r="AM294" s="26">
        <v>2358614.5958000002</v>
      </c>
      <c r="AN294" s="31">
        <v>258756.18410000001</v>
      </c>
      <c r="AO294" s="32">
        <v>497726.49928414001</v>
      </c>
      <c r="AP294" s="77">
        <f>+N294-'Приложение №2'!E294</f>
        <v>0</v>
      </c>
      <c r="AQ294" s="28">
        <f>504168.77-R89</f>
        <v>365922.02463468001</v>
      </c>
      <c r="AR294" s="1">
        <f t="shared" si="93"/>
        <v>372524.39999999997</v>
      </c>
      <c r="AS294" s="1">
        <f>+(K294*10+L294*20)*12*30-S89</f>
        <v>12090910.84</v>
      </c>
      <c r="AT294" s="28">
        <f t="shared" si="90"/>
        <v>-72795.559269361198</v>
      </c>
      <c r="AU294" s="28">
        <f>+P294-'[6]Приложение №1'!$P282</f>
        <v>0</v>
      </c>
      <c r="AV294" s="28">
        <f>+Q294-'[6]Приложение №1'!$Q282</f>
        <v>0</v>
      </c>
      <c r="AW294" s="28">
        <f>+R294-'[6]Приложение №1'!$R282</f>
        <v>-138246.74536532001</v>
      </c>
      <c r="AX294" s="28">
        <f>+S294-'[6]Приложение №1'!$S282</f>
        <v>9428466.0853653196</v>
      </c>
      <c r="AY294" s="28">
        <f>+T294-'[6]Приложение №1'!$T282</f>
        <v>0</v>
      </c>
    </row>
    <row r="295" spans="1:51" x14ac:dyDescent="0.25">
      <c r="A295" s="137">
        <f t="shared" si="92"/>
        <v>277</v>
      </c>
      <c r="B295" s="138">
        <f t="shared" si="92"/>
        <v>89</v>
      </c>
      <c r="C295" s="120" t="s">
        <v>51</v>
      </c>
      <c r="D295" s="120" t="s">
        <v>237</v>
      </c>
      <c r="E295" s="121">
        <v>1987</v>
      </c>
      <c r="F295" s="121">
        <v>2013</v>
      </c>
      <c r="G295" s="121" t="s">
        <v>83</v>
      </c>
      <c r="H295" s="121">
        <v>5</v>
      </c>
      <c r="I295" s="121">
        <v>6</v>
      </c>
      <c r="J295" s="107">
        <v>6859.9</v>
      </c>
      <c r="K295" s="107">
        <v>6097.04</v>
      </c>
      <c r="L295" s="107">
        <v>117.7</v>
      </c>
      <c r="M295" s="122">
        <v>283</v>
      </c>
      <c r="N295" s="133">
        <f t="shared" si="87"/>
        <v>8773415.9399999995</v>
      </c>
      <c r="O295" s="107"/>
      <c r="P295" s="108"/>
      <c r="Q295" s="108"/>
      <c r="R295" s="108">
        <f t="shared" si="95"/>
        <v>4090538.15</v>
      </c>
      <c r="S295" s="108">
        <f>+'Приложение №2'!E295-'Приложение №1'!R295-P295</f>
        <v>4682877.7899999991</v>
      </c>
      <c r="T295" s="108">
        <v>0</v>
      </c>
      <c r="U295" s="107">
        <f t="shared" si="89"/>
        <v>1411.7108583786289</v>
      </c>
      <c r="V295" s="107">
        <f t="shared" si="89"/>
        <v>1411.7108583786289</v>
      </c>
      <c r="W295" s="135">
        <v>2023</v>
      </c>
      <c r="X295" s="28" t="e">
        <f>+#REF!-'[1]Приложение №1'!$P760</f>
        <v>#REF!</v>
      </c>
      <c r="Z295" s="30">
        <f t="shared" si="94"/>
        <v>34989133.449999996</v>
      </c>
      <c r="AA295" s="26">
        <v>10381481.975843159</v>
      </c>
      <c r="AB295" s="26">
        <v>6003894.8349029999</v>
      </c>
      <c r="AC295" s="26">
        <v>6346561.3828171799</v>
      </c>
      <c r="AD295" s="26">
        <v>4839307.0097500803</v>
      </c>
      <c r="AE295" s="26">
        <v>1933204.0846683602</v>
      </c>
      <c r="AF295" s="26"/>
      <c r="AG295" s="26">
        <v>515853.10536480002</v>
      </c>
      <c r="AH295" s="26">
        <v>0</v>
      </c>
      <c r="AI295" s="26">
        <v>0</v>
      </c>
      <c r="AJ295" s="26">
        <v>0</v>
      </c>
      <c r="AK295" s="26">
        <v>0</v>
      </c>
      <c r="AL295" s="26">
        <v>0</v>
      </c>
      <c r="AM295" s="26">
        <v>3962456.5102000004</v>
      </c>
      <c r="AN295" s="31">
        <v>349891.33450000006</v>
      </c>
      <c r="AO295" s="32">
        <v>656483.21195342008</v>
      </c>
      <c r="AP295" s="77">
        <f>+N295-'Приложение №2'!E295</f>
        <v>0</v>
      </c>
      <c r="AQ295" s="23">
        <v>3444629.27</v>
      </c>
      <c r="AR295" s="1">
        <f t="shared" si="93"/>
        <v>645908.88</v>
      </c>
      <c r="AS295" s="1">
        <f>+(K295*10+L295*20)*12*30</f>
        <v>22796784</v>
      </c>
      <c r="AT295" s="28">
        <f t="shared" si="90"/>
        <v>-18113906.210000001</v>
      </c>
      <c r="AU295" s="28"/>
      <c r="AV295" s="28"/>
      <c r="AW295" s="28"/>
      <c r="AX295" s="28"/>
      <c r="AY295" s="28"/>
    </row>
    <row r="296" spans="1:51" x14ac:dyDescent="0.25">
      <c r="A296" s="137">
        <f t="shared" si="92"/>
        <v>278</v>
      </c>
      <c r="B296" s="138">
        <f t="shared" si="92"/>
        <v>90</v>
      </c>
      <c r="C296" s="120" t="s">
        <v>51</v>
      </c>
      <c r="D296" s="120" t="s">
        <v>467</v>
      </c>
      <c r="E296" s="121">
        <v>1972</v>
      </c>
      <c r="F296" s="121">
        <v>2013</v>
      </c>
      <c r="G296" s="121" t="s">
        <v>43</v>
      </c>
      <c r="H296" s="121">
        <v>4</v>
      </c>
      <c r="I296" s="121">
        <v>4</v>
      </c>
      <c r="J296" s="107">
        <v>3047.8</v>
      </c>
      <c r="K296" s="107">
        <v>2789.4</v>
      </c>
      <c r="L296" s="107">
        <v>0</v>
      </c>
      <c r="M296" s="122">
        <v>107</v>
      </c>
      <c r="N296" s="133">
        <f t="shared" si="87"/>
        <v>27557769.723289579</v>
      </c>
      <c r="O296" s="107"/>
      <c r="P296" s="108">
        <v>346316.57546666998</v>
      </c>
      <c r="Q296" s="108"/>
      <c r="R296" s="108">
        <f t="shared" si="95"/>
        <v>823386.06360000011</v>
      </c>
      <c r="S296" s="108">
        <f>+AS296</f>
        <v>0</v>
      </c>
      <c r="T296" s="108">
        <f>+'Приложение №2'!E296-'Приложение №1'!P296-'Приложение №1'!R296-'Приложение №1'!S296</f>
        <v>26388067.084222909</v>
      </c>
      <c r="U296" s="107">
        <f t="shared" si="89"/>
        <v>9879.4614337454568</v>
      </c>
      <c r="V296" s="107">
        <f t="shared" si="89"/>
        <v>9879.4614337454568</v>
      </c>
      <c r="W296" s="135">
        <v>2023</v>
      </c>
      <c r="X296" s="28"/>
      <c r="Z296" s="30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32"/>
      <c r="AP296" s="77">
        <f>+N296-'Приложение №2'!E296</f>
        <v>0</v>
      </c>
      <c r="AQ296" s="1">
        <f>1184908.35-361522.2864</f>
        <v>823386.06360000011</v>
      </c>
      <c r="AT296" s="28">
        <f t="shared" si="90"/>
        <v>0</v>
      </c>
      <c r="AU296" s="28">
        <f>+P296-'[6]Приложение №1'!$P283</f>
        <v>-3999999.9999999963</v>
      </c>
      <c r="AV296" s="28">
        <f>+Q296-'[6]Приложение №1'!$Q28</f>
        <v>0</v>
      </c>
      <c r="AW296" s="28">
        <f>+R296-'[6]Приложение №1'!$R283</f>
        <v>0</v>
      </c>
      <c r="AX296" s="28">
        <f>+S296-'[6]Приложение №1'!$S283</f>
        <v>0</v>
      </c>
      <c r="AY296" s="28">
        <f>+T296-'[6]Приложение №1'!$T283</f>
        <v>3999999.9999999963</v>
      </c>
    </row>
    <row r="297" spans="1:51" x14ac:dyDescent="0.25">
      <c r="A297" s="137">
        <f t="shared" ref="A297:B312" si="96">+A296+1</f>
        <v>279</v>
      </c>
      <c r="B297" s="138">
        <f t="shared" si="96"/>
        <v>91</v>
      </c>
      <c r="C297" s="120" t="s">
        <v>51</v>
      </c>
      <c r="D297" s="120" t="s">
        <v>468</v>
      </c>
      <c r="E297" s="121">
        <v>1974</v>
      </c>
      <c r="F297" s="121">
        <v>2013</v>
      </c>
      <c r="G297" s="121" t="s">
        <v>43</v>
      </c>
      <c r="H297" s="121">
        <v>4</v>
      </c>
      <c r="I297" s="121">
        <v>4</v>
      </c>
      <c r="J297" s="107">
        <v>2989.2</v>
      </c>
      <c r="K297" s="107">
        <v>2536.9</v>
      </c>
      <c r="L297" s="107">
        <v>230.9</v>
      </c>
      <c r="M297" s="122">
        <v>90</v>
      </c>
      <c r="N297" s="133">
        <f t="shared" si="87"/>
        <v>26132279.709870167</v>
      </c>
      <c r="O297" s="107"/>
      <c r="P297" s="108">
        <f>4427463.1917-1684428.35</f>
        <v>2743034.8417000002</v>
      </c>
      <c r="Q297" s="108"/>
      <c r="R297" s="108">
        <f t="shared" si="95"/>
        <v>444157.56489999988</v>
      </c>
      <c r="S297" s="108">
        <f>+AS297</f>
        <v>0</v>
      </c>
      <c r="T297" s="108">
        <f>+'Приложение №2'!E297-'Приложение №1'!P297-'Приложение №1'!R297-'Приложение №1'!S297</f>
        <v>22945087.303270169</v>
      </c>
      <c r="U297" s="107">
        <f t="shared" si="89"/>
        <v>9441.5346881531059</v>
      </c>
      <c r="V297" s="107">
        <f t="shared" si="89"/>
        <v>9441.5346881531059</v>
      </c>
      <c r="W297" s="135">
        <v>2023</v>
      </c>
      <c r="X297" s="28"/>
      <c r="Z297" s="30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32"/>
      <c r="AP297" s="77">
        <f>+N297-'Приложение №2'!E297</f>
        <v>0</v>
      </c>
      <c r="AQ297" s="1">
        <f>1292399.14-848241.5751</f>
        <v>444157.56489999988</v>
      </c>
      <c r="AT297" s="28">
        <f t="shared" si="90"/>
        <v>0</v>
      </c>
      <c r="AU297" s="28">
        <f>+P297-'[6]Приложение №1'!$P284</f>
        <v>-1684428.35</v>
      </c>
      <c r="AV297" s="28">
        <f>+Q297-'[6]Приложение №1'!$Q29</f>
        <v>0</v>
      </c>
      <c r="AW297" s="28">
        <f>+R297-'[6]Приложение №1'!$R284</f>
        <v>0</v>
      </c>
      <c r="AX297" s="28">
        <f>+S297-'[6]Приложение №1'!$S284</f>
        <v>0</v>
      </c>
      <c r="AY297" s="28">
        <f>+T297-'[6]Приложение №1'!$T284</f>
        <v>1684428.3500000015</v>
      </c>
    </row>
    <row r="298" spans="1:51" s="34" customFormat="1" x14ac:dyDescent="0.25">
      <c r="A298" s="137">
        <f t="shared" si="96"/>
        <v>280</v>
      </c>
      <c r="B298" s="138">
        <f t="shared" si="96"/>
        <v>92</v>
      </c>
      <c r="C298" s="120" t="s">
        <v>51</v>
      </c>
      <c r="D298" s="120" t="s">
        <v>469</v>
      </c>
      <c r="E298" s="121" t="s">
        <v>112</v>
      </c>
      <c r="F298" s="121"/>
      <c r="G298" s="121" t="s">
        <v>83</v>
      </c>
      <c r="H298" s="121" t="s">
        <v>101</v>
      </c>
      <c r="I298" s="121" t="s">
        <v>101</v>
      </c>
      <c r="J298" s="107">
        <v>4032.8</v>
      </c>
      <c r="K298" s="107">
        <v>3458.5</v>
      </c>
      <c r="L298" s="107">
        <v>0</v>
      </c>
      <c r="M298" s="122">
        <v>156</v>
      </c>
      <c r="N298" s="133">
        <f t="shared" si="87"/>
        <v>51364810.400115281</v>
      </c>
      <c r="O298" s="107">
        <v>0</v>
      </c>
      <c r="P298" s="108">
        <v>9237039.6128709596</v>
      </c>
      <c r="Q298" s="108">
        <v>0</v>
      </c>
      <c r="R298" s="108">
        <f t="shared" si="95"/>
        <v>1975744.77</v>
      </c>
      <c r="S298" s="108">
        <f>+AS298</f>
        <v>12450600</v>
      </c>
      <c r="T298" s="108">
        <f>+'Приложение №2'!E298-'Приложение №1'!P298-'Приложение №1'!R298-'Приложение №1'!S298</f>
        <v>27701426.017244324</v>
      </c>
      <c r="U298" s="107">
        <f t="shared" ref="U298:V316" si="97">$N298/($K298+$L298)</f>
        <v>14851.759548970733</v>
      </c>
      <c r="V298" s="107">
        <f t="shared" si="97"/>
        <v>14851.759548970733</v>
      </c>
      <c r="W298" s="135">
        <v>2023</v>
      </c>
      <c r="X298" s="34">
        <v>1316311.58</v>
      </c>
      <c r="Y298" s="34">
        <f>+(K298*9.1+L298*18.19)*12</f>
        <v>377668.19999999995</v>
      </c>
      <c r="AA298" s="35">
        <f>+N298-'[5]Приложение № 2'!E272</f>
        <v>35671288.030115284</v>
      </c>
      <c r="AD298" s="35">
        <f>+N298-'[5]Приложение № 2'!E272</f>
        <v>35671288.030115284</v>
      </c>
      <c r="AP298" s="77">
        <f>+N298-'Приложение №2'!E298</f>
        <v>0</v>
      </c>
      <c r="AQ298" s="34">
        <v>1622977.77</v>
      </c>
      <c r="AR298" s="1">
        <f t="shared" ref="AR298:AR324" si="98">+(K298*10+L298*20)*12*0.85</f>
        <v>352767</v>
      </c>
      <c r="AS298" s="1">
        <f>+(K298*10+L298*20)*12*30</f>
        <v>12450600</v>
      </c>
      <c r="AT298" s="28">
        <f t="shared" si="90"/>
        <v>0</v>
      </c>
      <c r="AU298" s="28">
        <f>+P298-'[6]Приложение №1'!$P285</f>
        <v>0</v>
      </c>
      <c r="AV298" s="28">
        <f>+Q298-'[6]Приложение №1'!$Q30</f>
        <v>0</v>
      </c>
      <c r="AW298" s="28">
        <f>+R298-'[6]Приложение №1'!$R285</f>
        <v>0</v>
      </c>
      <c r="AX298" s="28">
        <f>+S298-'[6]Приложение №1'!$S285</f>
        <v>0</v>
      </c>
      <c r="AY298" s="28">
        <f>+T298-'[6]Приложение №1'!$T285</f>
        <v>0</v>
      </c>
    </row>
    <row r="299" spans="1:51" x14ac:dyDescent="0.25">
      <c r="A299" s="137">
        <f t="shared" si="96"/>
        <v>281</v>
      </c>
      <c r="B299" s="138">
        <f t="shared" si="96"/>
        <v>93</v>
      </c>
      <c r="C299" s="120" t="s">
        <v>51</v>
      </c>
      <c r="D299" s="120" t="s">
        <v>470</v>
      </c>
      <c r="E299" s="121">
        <v>1973</v>
      </c>
      <c r="F299" s="121">
        <v>2013</v>
      </c>
      <c r="G299" s="121" t="s">
        <v>83</v>
      </c>
      <c r="H299" s="121">
        <v>4</v>
      </c>
      <c r="I299" s="121">
        <v>4</v>
      </c>
      <c r="J299" s="107">
        <v>4671.96</v>
      </c>
      <c r="K299" s="107">
        <v>3446.2</v>
      </c>
      <c r="L299" s="107">
        <v>0</v>
      </c>
      <c r="M299" s="122">
        <v>128</v>
      </c>
      <c r="N299" s="133">
        <f t="shared" si="87"/>
        <v>1361469.02</v>
      </c>
      <c r="O299" s="107"/>
      <c r="P299" s="108"/>
      <c r="Q299" s="108"/>
      <c r="R299" s="108">
        <f t="shared" si="95"/>
        <v>1047518.0799999998</v>
      </c>
      <c r="S299" s="108">
        <f>+'Приложение №2'!E299-'Приложение №1'!R299</f>
        <v>313950.94000000018</v>
      </c>
      <c r="T299" s="108">
        <v>0</v>
      </c>
      <c r="U299" s="107">
        <f t="shared" si="97"/>
        <v>395.06384423422901</v>
      </c>
      <c r="V299" s="107">
        <f t="shared" si="97"/>
        <v>395.06384423422901</v>
      </c>
      <c r="W299" s="135">
        <v>2023</v>
      </c>
      <c r="X299" s="28" t="e">
        <f>+#REF!-'[1]Приложение №1'!$P672</f>
        <v>#REF!</v>
      </c>
      <c r="Z299" s="30">
        <f t="shared" ref="Z299:Z311" si="99">SUM(AA299:AO299)</f>
        <v>1550298.52</v>
      </c>
      <c r="AA299" s="26">
        <v>0</v>
      </c>
      <c r="AB299" s="26">
        <v>0</v>
      </c>
      <c r="AC299" s="26">
        <v>0</v>
      </c>
      <c r="AD299" s="26">
        <v>0</v>
      </c>
      <c r="AE299" s="26">
        <v>1350771.93</v>
      </c>
      <c r="AF299" s="26"/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6">
        <v>0</v>
      </c>
      <c r="AM299" s="26">
        <v>183829.5</v>
      </c>
      <c r="AN299" s="31">
        <v>5000</v>
      </c>
      <c r="AO299" s="32">
        <v>10697.09</v>
      </c>
      <c r="AP299" s="77">
        <f>+N299-'Приложение №2'!E299</f>
        <v>0</v>
      </c>
      <c r="AQ299" s="1">
        <f>1641525.43-945519.75</f>
        <v>696005.67999999993</v>
      </c>
      <c r="AR299" s="1">
        <f t="shared" si="98"/>
        <v>351512.39999999997</v>
      </c>
      <c r="AS299" s="1">
        <f>+(K299*10+L299*20)*12*30-886414.55</f>
        <v>11519905.449999999</v>
      </c>
      <c r="AT299" s="28">
        <f t="shared" si="90"/>
        <v>-11205954.51</v>
      </c>
      <c r="AU299" s="28">
        <f>+P299-'[6]Приложение №1'!$P286</f>
        <v>-1511702.0514524882</v>
      </c>
      <c r="AV299" s="28">
        <f>+Q299-'[6]Приложение №1'!$Q31</f>
        <v>0</v>
      </c>
      <c r="AW299" s="28">
        <f>+R299-'[6]Приложение №1'!$R286</f>
        <v>0</v>
      </c>
      <c r="AX299" s="28">
        <f>+S299-'[6]Приложение №1'!$S286</f>
        <v>0</v>
      </c>
      <c r="AY299" s="28">
        <f>+T299-'[6]Приложение №1'!$T286</f>
        <v>0</v>
      </c>
    </row>
    <row r="300" spans="1:51" x14ac:dyDescent="0.25">
      <c r="A300" s="137">
        <f t="shared" si="96"/>
        <v>282</v>
      </c>
      <c r="B300" s="138">
        <f t="shared" si="96"/>
        <v>94</v>
      </c>
      <c r="C300" s="120" t="s">
        <v>51</v>
      </c>
      <c r="D300" s="120" t="s">
        <v>471</v>
      </c>
      <c r="E300" s="121">
        <v>1988</v>
      </c>
      <c r="F300" s="121">
        <v>2013</v>
      </c>
      <c r="G300" s="121" t="s">
        <v>83</v>
      </c>
      <c r="H300" s="121">
        <v>5</v>
      </c>
      <c r="I300" s="121">
        <v>4</v>
      </c>
      <c r="J300" s="107">
        <v>4850.3</v>
      </c>
      <c r="K300" s="107">
        <v>4289.6000000000004</v>
      </c>
      <c r="L300" s="107">
        <v>0</v>
      </c>
      <c r="M300" s="122">
        <v>199</v>
      </c>
      <c r="N300" s="133">
        <f t="shared" si="87"/>
        <v>4002892.3932919996</v>
      </c>
      <c r="O300" s="107"/>
      <c r="P300" s="108"/>
      <c r="Q300" s="108"/>
      <c r="R300" s="108">
        <f t="shared" si="95"/>
        <v>2458437.62</v>
      </c>
      <c r="S300" s="108">
        <f>+'Приложение №2'!E300-'Приложение №1'!R300</f>
        <v>1544454.7732919995</v>
      </c>
      <c r="T300" s="107">
        <f>+'Приложение №2'!E300-'Приложение №1'!P300-'Приложение №1'!Q300-'Приложение №1'!R300-'Приложение №1'!S300</f>
        <v>0</v>
      </c>
      <c r="U300" s="108">
        <f t="shared" si="97"/>
        <v>933.16215807814228</v>
      </c>
      <c r="V300" s="108">
        <f t="shared" si="97"/>
        <v>933.16215807814228</v>
      </c>
      <c r="W300" s="135">
        <v>2023</v>
      </c>
      <c r="X300" s="28" t="e">
        <f>+#REF!-'[1]Приложение №1'!$P1262</f>
        <v>#REF!</v>
      </c>
      <c r="Z300" s="30">
        <f t="shared" si="99"/>
        <v>14475624.07</v>
      </c>
      <c r="AA300" s="26">
        <v>0</v>
      </c>
      <c r="AB300" s="26">
        <v>0</v>
      </c>
      <c r="AC300" s="26">
        <v>0</v>
      </c>
      <c r="AD300" s="26">
        <v>0</v>
      </c>
      <c r="AE300" s="26">
        <v>0</v>
      </c>
      <c r="AF300" s="26"/>
      <c r="AG300" s="26">
        <v>0</v>
      </c>
      <c r="AH300" s="26">
        <v>0</v>
      </c>
      <c r="AI300" s="26">
        <v>13731245.256708002</v>
      </c>
      <c r="AJ300" s="26">
        <v>0</v>
      </c>
      <c r="AK300" s="26">
        <v>0</v>
      </c>
      <c r="AL300" s="26">
        <v>0</v>
      </c>
      <c r="AM300" s="26">
        <v>414638.11</v>
      </c>
      <c r="AN300" s="26">
        <v>29466.18</v>
      </c>
      <c r="AO300" s="32">
        <v>300274.52329200006</v>
      </c>
      <c r="AP300" s="77">
        <f>+N300-'Приложение №2'!E300</f>
        <v>0</v>
      </c>
      <c r="AQ300" s="1">
        <v>2020898.42</v>
      </c>
      <c r="AR300" s="1">
        <f t="shared" si="98"/>
        <v>437539.2</v>
      </c>
      <c r="AS300" s="1">
        <f>+(K300*10+L300*20)*12*30</f>
        <v>15442560</v>
      </c>
      <c r="AT300" s="28">
        <f t="shared" si="90"/>
        <v>-13898105.226708001</v>
      </c>
      <c r="AU300" s="28">
        <f>+P300-'[6]Приложение №1'!$P287</f>
        <v>-3751428.4528287994</v>
      </c>
      <c r="AV300" s="28">
        <f>+Q300-'[6]Приложение №1'!$Q32</f>
        <v>0</v>
      </c>
      <c r="AW300" s="28">
        <f>+R300-'[6]Приложение №1'!$R287</f>
        <v>0</v>
      </c>
      <c r="AX300" s="28">
        <f>+S300-'[6]Приложение №1'!$S287</f>
        <v>438638.10999999987</v>
      </c>
      <c r="AY300" s="28">
        <f>+T300-'[6]Приложение №1'!$T287</f>
        <v>0</v>
      </c>
    </row>
    <row r="301" spans="1:51" x14ac:dyDescent="0.25">
      <c r="A301" s="137">
        <f t="shared" si="96"/>
        <v>283</v>
      </c>
      <c r="B301" s="138">
        <f t="shared" si="96"/>
        <v>95</v>
      </c>
      <c r="C301" s="120" t="s">
        <v>51</v>
      </c>
      <c r="D301" s="120" t="s">
        <v>472</v>
      </c>
      <c r="E301" s="121">
        <v>1974</v>
      </c>
      <c r="F301" s="121">
        <v>2013</v>
      </c>
      <c r="G301" s="121" t="s">
        <v>43</v>
      </c>
      <c r="H301" s="121">
        <v>4</v>
      </c>
      <c r="I301" s="121">
        <v>8</v>
      </c>
      <c r="J301" s="107">
        <v>5449.8</v>
      </c>
      <c r="K301" s="107">
        <v>4938.7</v>
      </c>
      <c r="L301" s="107">
        <v>0</v>
      </c>
      <c r="M301" s="122">
        <v>207</v>
      </c>
      <c r="N301" s="133">
        <f t="shared" si="87"/>
        <v>79737727.121219635</v>
      </c>
      <c r="O301" s="107"/>
      <c r="P301" s="108">
        <f>15011639.89-7314242.35</f>
        <v>7697397.540000001</v>
      </c>
      <c r="Q301" s="108"/>
      <c r="R301" s="108">
        <f t="shared" si="95"/>
        <v>2814358.13</v>
      </c>
      <c r="S301" s="108">
        <f>+AS301</f>
        <v>17779320</v>
      </c>
      <c r="T301" s="108">
        <f>+'Приложение №2'!E301-'Приложение №1'!P301-'Приложение №1'!R301-'Приложение №1'!S301</f>
        <v>51446651.451219633</v>
      </c>
      <c r="U301" s="107">
        <f t="shared" si="97"/>
        <v>16145.489120865741</v>
      </c>
      <c r="V301" s="107">
        <f t="shared" si="97"/>
        <v>16145.489120865741</v>
      </c>
      <c r="W301" s="135">
        <v>2023</v>
      </c>
      <c r="X301" s="28" t="e">
        <f>+#REF!-'[1]Приложение №1'!$P1064</f>
        <v>#REF!</v>
      </c>
      <c r="Z301" s="30">
        <f t="shared" si="99"/>
        <v>29390081.470000003</v>
      </c>
      <c r="AA301" s="26">
        <v>11814199.4679345</v>
      </c>
      <c r="AB301" s="26">
        <v>4209884.9643870592</v>
      </c>
      <c r="AC301" s="26">
        <v>4398393.0636496209</v>
      </c>
      <c r="AD301" s="26">
        <v>2753672.1595983598</v>
      </c>
      <c r="AE301" s="26">
        <v>1684797.1438548602</v>
      </c>
      <c r="AF301" s="26"/>
      <c r="AG301" s="26">
        <v>453343.1808108</v>
      </c>
      <c r="AH301" s="26">
        <v>0</v>
      </c>
      <c r="AI301" s="26">
        <v>0</v>
      </c>
      <c r="AJ301" s="26">
        <v>0</v>
      </c>
      <c r="AK301" s="26">
        <v>0</v>
      </c>
      <c r="AL301" s="26">
        <v>0</v>
      </c>
      <c r="AM301" s="26">
        <v>3228318.4233000004</v>
      </c>
      <c r="AN301" s="31">
        <v>293900.81470000005</v>
      </c>
      <c r="AO301" s="32">
        <v>553572.25176480005</v>
      </c>
      <c r="AP301" s="77">
        <f>+N301-'Приложение №2'!E301</f>
        <v>0</v>
      </c>
      <c r="AQ301" s="1">
        <v>2310610.73</v>
      </c>
      <c r="AR301" s="1">
        <f t="shared" si="98"/>
        <v>503747.39999999997</v>
      </c>
      <c r="AS301" s="1">
        <f>+(K301*10+L301*20)*12*30</f>
        <v>17779320</v>
      </c>
      <c r="AT301" s="28">
        <f t="shared" si="90"/>
        <v>0</v>
      </c>
      <c r="AU301" s="28">
        <f>+P301-'[6]Приложение №1'!$P288</f>
        <v>-7314242.3499999996</v>
      </c>
      <c r="AV301" s="28">
        <f>+Q301-'[6]Приложение №1'!$Q33</f>
        <v>0</v>
      </c>
      <c r="AW301" s="28">
        <f>+R301-'[6]Приложение №1'!$R288</f>
        <v>0</v>
      </c>
      <c r="AX301" s="28">
        <f>+S301-'[6]Приложение №1'!$S288</f>
        <v>0</v>
      </c>
      <c r="AY301" s="28">
        <f>+T301-'[6]Приложение №1'!$T288</f>
        <v>7314242.3500000015</v>
      </c>
    </row>
    <row r="302" spans="1:51" x14ac:dyDescent="0.25">
      <c r="A302" s="137">
        <f t="shared" si="96"/>
        <v>284</v>
      </c>
      <c r="B302" s="138">
        <f t="shared" si="96"/>
        <v>96</v>
      </c>
      <c r="C302" s="120" t="s">
        <v>51</v>
      </c>
      <c r="D302" s="120" t="s">
        <v>473</v>
      </c>
      <c r="E302" s="121">
        <v>1983</v>
      </c>
      <c r="F302" s="121">
        <v>2013</v>
      </c>
      <c r="G302" s="121" t="s">
        <v>83</v>
      </c>
      <c r="H302" s="121">
        <v>4</v>
      </c>
      <c r="I302" s="121">
        <v>6</v>
      </c>
      <c r="J302" s="107">
        <v>5775.05</v>
      </c>
      <c r="K302" s="107">
        <v>5052.8500000000004</v>
      </c>
      <c r="L302" s="107">
        <v>0</v>
      </c>
      <c r="M302" s="122">
        <v>216</v>
      </c>
      <c r="N302" s="133">
        <f t="shared" si="87"/>
        <v>20464603.039999999</v>
      </c>
      <c r="O302" s="107"/>
      <c r="P302" s="108"/>
      <c r="Q302" s="108"/>
      <c r="R302" s="108">
        <f t="shared" si="95"/>
        <v>2840159.93</v>
      </c>
      <c r="S302" s="108">
        <f>+'Приложение №2'!E302-'Приложение №1'!R302</f>
        <v>17624443.109999999</v>
      </c>
      <c r="T302" s="108">
        <v>0</v>
      </c>
      <c r="U302" s="107">
        <f t="shared" si="97"/>
        <v>4050.1109354126875</v>
      </c>
      <c r="V302" s="107">
        <f t="shared" si="97"/>
        <v>4050.1109354126875</v>
      </c>
      <c r="W302" s="135">
        <v>2023</v>
      </c>
      <c r="X302" s="28" t="e">
        <f>+#REF!-'[1]Приложение №1'!$P1068</f>
        <v>#REF!</v>
      </c>
      <c r="Z302" s="30">
        <f t="shared" si="99"/>
        <v>28377467.889999997</v>
      </c>
      <c r="AA302" s="26">
        <v>8419761.85982568</v>
      </c>
      <c r="AB302" s="26">
        <v>4869378.4663003199</v>
      </c>
      <c r="AC302" s="26">
        <v>5147293.5732838195</v>
      </c>
      <c r="AD302" s="26">
        <v>3924855.112857</v>
      </c>
      <c r="AE302" s="26">
        <v>1567899.2698021799</v>
      </c>
      <c r="AF302" s="26"/>
      <c r="AG302" s="26">
        <v>418375.75401383999</v>
      </c>
      <c r="AH302" s="26">
        <v>0</v>
      </c>
      <c r="AI302" s="26">
        <v>0</v>
      </c>
      <c r="AJ302" s="26">
        <v>0</v>
      </c>
      <c r="AK302" s="26">
        <v>0</v>
      </c>
      <c r="AL302" s="26">
        <v>0</v>
      </c>
      <c r="AM302" s="26">
        <v>3213697.2617000001</v>
      </c>
      <c r="AN302" s="31">
        <v>283774.6789</v>
      </c>
      <c r="AO302" s="32">
        <v>532431.91331715998</v>
      </c>
      <c r="AP302" s="77">
        <f>+N302-'Приложение №2'!E302</f>
        <v>0</v>
      </c>
      <c r="AQ302" s="1">
        <f>2439039.01-114269.78</f>
        <v>2324769.23</v>
      </c>
      <c r="AR302" s="1">
        <f t="shared" si="98"/>
        <v>515390.7</v>
      </c>
      <c r="AS302" s="1">
        <f>+(K302*10+L302*20)*12*30</f>
        <v>18190260</v>
      </c>
      <c r="AT302" s="28">
        <f t="shared" si="90"/>
        <v>-565816.8900000006</v>
      </c>
      <c r="AU302" s="28">
        <f>+P302-'[6]Приложение №1'!$P289</f>
        <v>94317.518110000063</v>
      </c>
      <c r="AV302" s="28">
        <f>+Q302-'[6]Приложение №1'!$Q34</f>
        <v>0</v>
      </c>
      <c r="AW302" s="28">
        <f>+R302-'[6]Приложение №1'!$R289</f>
        <v>0</v>
      </c>
      <c r="AX302" s="28">
        <f>+S302-'[6]Приложение №1'!$S289</f>
        <v>0</v>
      </c>
      <c r="AY302" s="28">
        <f>+T302-'[6]Приложение №1'!$T289</f>
        <v>0</v>
      </c>
    </row>
    <row r="303" spans="1:51" x14ac:dyDescent="0.25">
      <c r="A303" s="137">
        <f t="shared" si="96"/>
        <v>285</v>
      </c>
      <c r="B303" s="138">
        <f t="shared" si="96"/>
        <v>97</v>
      </c>
      <c r="C303" s="120" t="s">
        <v>51</v>
      </c>
      <c r="D303" s="120" t="s">
        <v>474</v>
      </c>
      <c r="E303" s="121">
        <v>1976</v>
      </c>
      <c r="F303" s="121">
        <v>2013</v>
      </c>
      <c r="G303" s="121" t="s">
        <v>43</v>
      </c>
      <c r="H303" s="121">
        <v>5</v>
      </c>
      <c r="I303" s="121">
        <v>4</v>
      </c>
      <c r="J303" s="107">
        <v>3698.5</v>
      </c>
      <c r="K303" s="107">
        <v>3331.4</v>
      </c>
      <c r="L303" s="107">
        <v>142.19999999999999</v>
      </c>
      <c r="M303" s="122">
        <v>143</v>
      </c>
      <c r="N303" s="133">
        <f t="shared" si="87"/>
        <v>16119475.25326384</v>
      </c>
      <c r="O303" s="107"/>
      <c r="P303" s="108">
        <v>2008108.1622212788</v>
      </c>
      <c r="Q303" s="108"/>
      <c r="R303" s="108">
        <f t="shared" si="95"/>
        <v>1664189.88</v>
      </c>
      <c r="S303" s="108">
        <f>+AS303</f>
        <v>11443239.939999999</v>
      </c>
      <c r="T303" s="108">
        <f>+'Приложение №2'!E303-'Приложение №1'!P303-'Приложение №1'!R303-'Приложение №1'!S303</f>
        <v>1003937.2710425612</v>
      </c>
      <c r="U303" s="107">
        <f t="shared" si="97"/>
        <v>4640.5674957576693</v>
      </c>
      <c r="V303" s="107">
        <f t="shared" si="97"/>
        <v>4640.5674957576693</v>
      </c>
      <c r="W303" s="135">
        <v>2023</v>
      </c>
      <c r="X303" s="28" t="e">
        <f>+#REF!-'[1]Приложение №1'!$P677</f>
        <v>#REF!</v>
      </c>
      <c r="Z303" s="30">
        <f t="shared" si="99"/>
        <v>31334841.419999994</v>
      </c>
      <c r="AA303" s="26">
        <v>8119979.0609737793</v>
      </c>
      <c r="AB303" s="26">
        <v>2893482.3597838203</v>
      </c>
      <c r="AC303" s="26">
        <v>0</v>
      </c>
      <c r="AD303" s="26">
        <v>0</v>
      </c>
      <c r="AE303" s="26">
        <v>1157972.4533361599</v>
      </c>
      <c r="AF303" s="26"/>
      <c r="AG303" s="26">
        <v>311585.82840084005</v>
      </c>
      <c r="AH303" s="26">
        <v>0</v>
      </c>
      <c r="AI303" s="26">
        <v>14844557.210124599</v>
      </c>
      <c r="AJ303" s="26">
        <v>0</v>
      </c>
      <c r="AK303" s="26">
        <v>0</v>
      </c>
      <c r="AL303" s="26">
        <v>0</v>
      </c>
      <c r="AM303" s="26">
        <v>3096317.3338000001</v>
      </c>
      <c r="AN303" s="31">
        <v>313348.4142</v>
      </c>
      <c r="AO303" s="32">
        <v>597598.75938079995</v>
      </c>
      <c r="AP303" s="77">
        <f>+N303-'Приложение №2'!E303</f>
        <v>0</v>
      </c>
      <c r="AQ303" s="1">
        <f>1714139.94-279174.44-139587.22</f>
        <v>1295378.28</v>
      </c>
      <c r="AR303" s="1">
        <f t="shared" si="98"/>
        <v>368811.6</v>
      </c>
      <c r="AS303" s="1">
        <f>+(K303*10+L303*20)*12*30-1573640.06</f>
        <v>11443239.939999999</v>
      </c>
      <c r="AT303" s="28">
        <f t="shared" si="90"/>
        <v>0</v>
      </c>
      <c r="AU303" s="28">
        <f>+P303-'[6]Приложение №1'!$P290</f>
        <v>0</v>
      </c>
      <c r="AV303" s="28">
        <f>+Q303-'[6]Приложение №1'!$Q35</f>
        <v>0</v>
      </c>
      <c r="AW303" s="28">
        <f>+R303-'[6]Приложение №1'!$R290</f>
        <v>0</v>
      </c>
      <c r="AX303" s="28">
        <f>+S303-'[6]Приложение №1'!$S290</f>
        <v>0</v>
      </c>
      <c r="AY303" s="28">
        <f>+T303-'[6]Приложение №1'!$T290</f>
        <v>0</v>
      </c>
    </row>
    <row r="304" spans="1:51" x14ac:dyDescent="0.25">
      <c r="A304" s="137">
        <f t="shared" si="96"/>
        <v>286</v>
      </c>
      <c r="B304" s="138">
        <f t="shared" si="96"/>
        <v>98</v>
      </c>
      <c r="C304" s="120" t="s">
        <v>51</v>
      </c>
      <c r="D304" s="120" t="s">
        <v>419</v>
      </c>
      <c r="E304" s="121">
        <v>1976</v>
      </c>
      <c r="F304" s="121">
        <v>2013</v>
      </c>
      <c r="G304" s="121" t="s">
        <v>83</v>
      </c>
      <c r="H304" s="121">
        <v>4</v>
      </c>
      <c r="I304" s="121">
        <v>6</v>
      </c>
      <c r="J304" s="107">
        <v>5761.37</v>
      </c>
      <c r="K304" s="107">
        <v>4953.17</v>
      </c>
      <c r="L304" s="107">
        <v>0</v>
      </c>
      <c r="M304" s="122">
        <v>208</v>
      </c>
      <c r="N304" s="133">
        <f t="shared" si="87"/>
        <v>22165138.859996557</v>
      </c>
      <c r="O304" s="107"/>
      <c r="P304" s="108"/>
      <c r="Q304" s="108"/>
      <c r="R304" s="108">
        <f>+AQ304+AR304</f>
        <v>3001913.7399999998</v>
      </c>
      <c r="S304" s="108">
        <f>+AS304</f>
        <v>17831411.999999996</v>
      </c>
      <c r="T304" s="107">
        <f>+'Приложение №2'!E304-'Приложение №1'!P304-'Приложение №1'!Q304-'Приложение №1'!R304-'Приложение №1'!S304</f>
        <v>1331813.1199965626</v>
      </c>
      <c r="U304" s="107">
        <f t="shared" si="97"/>
        <v>4474.9400606069557</v>
      </c>
      <c r="V304" s="107">
        <f t="shared" si="97"/>
        <v>4474.9400606069557</v>
      </c>
      <c r="W304" s="135">
        <v>2023</v>
      </c>
      <c r="X304" s="28" t="e">
        <f>+#REF!-'[1]Приложение №1'!$P1070</f>
        <v>#REF!</v>
      </c>
      <c r="Z304" s="30">
        <f t="shared" si="99"/>
        <v>18855188.25</v>
      </c>
      <c r="AA304" s="26">
        <v>0</v>
      </c>
      <c r="AB304" s="26">
        <v>4852018.6895581791</v>
      </c>
      <c r="AC304" s="26">
        <v>5128943.0079808198</v>
      </c>
      <c r="AD304" s="26">
        <v>3910862.6451854394</v>
      </c>
      <c r="AE304" s="26">
        <v>1562309.5679603999</v>
      </c>
      <c r="AF304" s="26"/>
      <c r="AG304" s="26">
        <v>416884.20653627999</v>
      </c>
      <c r="AH304" s="26">
        <v>0</v>
      </c>
      <c r="AI304" s="26">
        <v>0</v>
      </c>
      <c r="AJ304" s="26">
        <v>0</v>
      </c>
      <c r="AK304" s="26">
        <v>0</v>
      </c>
      <c r="AL304" s="26">
        <v>0</v>
      </c>
      <c r="AM304" s="26">
        <v>2448551.2283000001</v>
      </c>
      <c r="AN304" s="31">
        <v>188551.88250000004</v>
      </c>
      <c r="AO304" s="32">
        <v>347067.0219788801</v>
      </c>
      <c r="AP304" s="77">
        <f>+N304-'Приложение №2'!E304</f>
        <v>0</v>
      </c>
      <c r="AQ304" s="1">
        <f>2496690.4</f>
        <v>2496690.4</v>
      </c>
      <c r="AR304" s="1">
        <f t="shared" si="98"/>
        <v>505223.33999999991</v>
      </c>
      <c r="AS304" s="1">
        <f>+(K304*10+L304*20)*12*30</f>
        <v>17831411.999999996</v>
      </c>
      <c r="AT304" s="28">
        <f t="shared" si="90"/>
        <v>0</v>
      </c>
      <c r="AU304" s="28">
        <f>+P304-'[6]Приложение №1'!$P292</f>
        <v>-2076617.8699999992</v>
      </c>
      <c r="AV304" s="28">
        <f>+Q304-'[6]Приложение №1'!$Q37</f>
        <v>0</v>
      </c>
      <c r="AW304" s="28">
        <f>+R304-'[6]Приложение №1'!$R292</f>
        <v>0</v>
      </c>
      <c r="AX304" s="28">
        <f>+S304-'[6]Приложение №1'!$S292</f>
        <v>0</v>
      </c>
      <c r="AY304" s="28">
        <f>+T304-'[6]Приложение №1'!$T292</f>
        <v>0</v>
      </c>
    </row>
    <row r="305" spans="1:51" x14ac:dyDescent="0.25">
      <c r="A305" s="137">
        <f t="shared" si="96"/>
        <v>287</v>
      </c>
      <c r="B305" s="138">
        <f t="shared" si="96"/>
        <v>99</v>
      </c>
      <c r="C305" s="120" t="s">
        <v>51</v>
      </c>
      <c r="D305" s="120" t="s">
        <v>420</v>
      </c>
      <c r="E305" s="121">
        <v>1964</v>
      </c>
      <c r="F305" s="121">
        <v>1978</v>
      </c>
      <c r="G305" s="121" t="s">
        <v>43</v>
      </c>
      <c r="H305" s="121">
        <v>4</v>
      </c>
      <c r="I305" s="121">
        <v>4</v>
      </c>
      <c r="J305" s="107">
        <v>2691.4</v>
      </c>
      <c r="K305" s="107">
        <v>2511.6</v>
      </c>
      <c r="L305" s="107">
        <v>55</v>
      </c>
      <c r="M305" s="122">
        <v>136</v>
      </c>
      <c r="N305" s="123">
        <f t="shared" si="87"/>
        <v>1142240.9043090399</v>
      </c>
      <c r="O305" s="107"/>
      <c r="P305" s="108">
        <v>173872.46999999997</v>
      </c>
      <c r="Q305" s="108"/>
      <c r="R305" s="108">
        <f>+AQ305+AR305</f>
        <v>364376.02999999997</v>
      </c>
      <c r="S305" s="108">
        <f>+'Приложение №2'!E305-'Приложение №1'!P305-'Приложение №1'!R305</f>
        <v>603992.40430903994</v>
      </c>
      <c r="T305" s="107"/>
      <c r="U305" s="108">
        <f t="shared" si="97"/>
        <v>445.04048324984024</v>
      </c>
      <c r="V305" s="108">
        <f t="shared" si="97"/>
        <v>445.04048324984024</v>
      </c>
      <c r="W305" s="135">
        <v>2023</v>
      </c>
      <c r="X305" s="28" t="e">
        <f>+#REF!-'[1]Приложение №1'!$P1671</f>
        <v>#REF!</v>
      </c>
      <c r="Z305" s="30">
        <f t="shared" si="99"/>
        <v>27187931.989999998</v>
      </c>
      <c r="AA305" s="26">
        <v>5957834.6788287591</v>
      </c>
      <c r="AB305" s="26">
        <v>2123021.4274273203</v>
      </c>
      <c r="AC305" s="26">
        <v>2218085.0113825197</v>
      </c>
      <c r="AD305" s="26">
        <v>1388661.4588106403</v>
      </c>
      <c r="AE305" s="26">
        <v>849633.77513700002</v>
      </c>
      <c r="AF305" s="26"/>
      <c r="AG305" s="26">
        <v>228618.42683567997</v>
      </c>
      <c r="AH305" s="26">
        <v>0</v>
      </c>
      <c r="AI305" s="26">
        <v>10891828.3075938</v>
      </c>
      <c r="AJ305" s="26">
        <v>0</v>
      </c>
      <c r="AK305" s="26">
        <v>0</v>
      </c>
      <c r="AL305" s="26">
        <v>0</v>
      </c>
      <c r="AM305" s="26">
        <v>2741023.9698999999</v>
      </c>
      <c r="AN305" s="31">
        <v>271879.3199</v>
      </c>
      <c r="AO305" s="32">
        <v>517345.61418428004</v>
      </c>
      <c r="AP305" s="77">
        <f>+N305-'Приложение №2'!E305</f>
        <v>0</v>
      </c>
      <c r="AQ305" s="28">
        <f>1127947.91-R98</f>
        <v>96972.829999999958</v>
      </c>
      <c r="AR305" s="1">
        <f t="shared" si="98"/>
        <v>267403.2</v>
      </c>
      <c r="AS305" s="1">
        <f>+(K305*10+L305*20)*12*30-1866218.37-S98</f>
        <v>521500.30569096003</v>
      </c>
      <c r="AT305" s="28">
        <f t="shared" si="90"/>
        <v>82492.098618079908</v>
      </c>
    </row>
    <row r="306" spans="1:51" x14ac:dyDescent="0.25">
      <c r="A306" s="137">
        <f t="shared" si="96"/>
        <v>288</v>
      </c>
      <c r="B306" s="138">
        <f t="shared" si="96"/>
        <v>100</v>
      </c>
      <c r="C306" s="120" t="s">
        <v>51</v>
      </c>
      <c r="D306" s="120" t="s">
        <v>475</v>
      </c>
      <c r="E306" s="121">
        <v>1977</v>
      </c>
      <c r="F306" s="121">
        <v>2016</v>
      </c>
      <c r="G306" s="121" t="s">
        <v>43</v>
      </c>
      <c r="H306" s="121">
        <v>4</v>
      </c>
      <c r="I306" s="121">
        <v>3</v>
      </c>
      <c r="J306" s="107">
        <v>4282.03</v>
      </c>
      <c r="K306" s="107">
        <v>3649.25</v>
      </c>
      <c r="L306" s="107">
        <v>274</v>
      </c>
      <c r="M306" s="122">
        <v>288</v>
      </c>
      <c r="N306" s="133">
        <f t="shared" si="87"/>
        <v>9072553.7200000007</v>
      </c>
      <c r="O306" s="107"/>
      <c r="P306" s="108"/>
      <c r="Q306" s="108"/>
      <c r="R306" s="108">
        <f>+AQ306+AR306</f>
        <v>2186271.8200000003</v>
      </c>
      <c r="S306" s="108">
        <f>+'Приложение №2'!E306-'Приложение №1'!R306-P306</f>
        <v>6886281.9000000004</v>
      </c>
      <c r="T306" s="108">
        <v>0</v>
      </c>
      <c r="U306" s="107">
        <f t="shared" si="97"/>
        <v>2312.5097100618113</v>
      </c>
      <c r="V306" s="107">
        <f t="shared" si="97"/>
        <v>2312.5097100618113</v>
      </c>
      <c r="W306" s="135">
        <v>2023</v>
      </c>
      <c r="X306" s="28" t="e">
        <f>+#REF!-'[1]Приложение №1'!$P388</f>
        <v>#REF!</v>
      </c>
      <c r="Z306" s="30">
        <f t="shared" si="99"/>
        <v>23141293.460000001</v>
      </c>
      <c r="AA306" s="26">
        <v>8634085.2331297211</v>
      </c>
      <c r="AB306" s="26">
        <v>0</v>
      </c>
      <c r="AC306" s="26">
        <v>3214445.52658614</v>
      </c>
      <c r="AD306" s="26">
        <v>0</v>
      </c>
      <c r="AE306" s="26">
        <v>0</v>
      </c>
      <c r="AF306" s="26"/>
      <c r="AG306" s="26">
        <v>331313.48510400002</v>
      </c>
      <c r="AH306" s="26">
        <v>0</v>
      </c>
      <c r="AI306" s="26">
        <v>0</v>
      </c>
      <c r="AJ306" s="26">
        <v>0</v>
      </c>
      <c r="AK306" s="26">
        <v>8195344.7229868202</v>
      </c>
      <c r="AL306" s="26">
        <v>0</v>
      </c>
      <c r="AM306" s="26">
        <v>2089127.4416</v>
      </c>
      <c r="AN306" s="31">
        <v>231412.93460000001</v>
      </c>
      <c r="AO306" s="32">
        <v>445564.11599332013</v>
      </c>
      <c r="AP306" s="77">
        <f>+N306-'Приложение №2'!E306</f>
        <v>0</v>
      </c>
      <c r="AQ306" s="23">
        <v>1758152.32</v>
      </c>
      <c r="AR306" s="1">
        <f t="shared" si="98"/>
        <v>428119.5</v>
      </c>
      <c r="AS306" s="1">
        <f>+(K306*10+L306*20)*12*30</f>
        <v>15110100</v>
      </c>
      <c r="AT306" s="28">
        <f t="shared" si="90"/>
        <v>-8223818.0999999996</v>
      </c>
      <c r="AU306" s="28"/>
      <c r="AV306" s="28"/>
      <c r="AW306" s="28"/>
      <c r="AX306" s="28"/>
      <c r="AY306" s="28"/>
    </row>
    <row r="307" spans="1:51" x14ac:dyDescent="0.25">
      <c r="A307" s="137">
        <f t="shared" si="96"/>
        <v>289</v>
      </c>
      <c r="B307" s="138">
        <f t="shared" si="96"/>
        <v>101</v>
      </c>
      <c r="C307" s="120" t="s">
        <v>51</v>
      </c>
      <c r="D307" s="120" t="s">
        <v>422</v>
      </c>
      <c r="E307" s="121">
        <v>1964</v>
      </c>
      <c r="F307" s="121">
        <v>2013</v>
      </c>
      <c r="G307" s="121" t="s">
        <v>43</v>
      </c>
      <c r="H307" s="121">
        <v>4</v>
      </c>
      <c r="I307" s="121">
        <v>2</v>
      </c>
      <c r="J307" s="107">
        <v>1348</v>
      </c>
      <c r="K307" s="107">
        <v>1248.9000000000001</v>
      </c>
      <c r="L307" s="107">
        <v>0</v>
      </c>
      <c r="M307" s="122">
        <v>74</v>
      </c>
      <c r="N307" s="133">
        <f t="shared" si="87"/>
        <v>1447716.48246928</v>
      </c>
      <c r="O307" s="107"/>
      <c r="P307" s="108">
        <f>+'Приложение №2'!E307-'Приложение №1'!R307</f>
        <v>860590.1024692799</v>
      </c>
      <c r="Q307" s="108"/>
      <c r="R307" s="108">
        <f>+AQ307+AR307-86410.73</f>
        <v>587126.38000000012</v>
      </c>
      <c r="S307" s="108">
        <f>+'Приложение №2'!E307-'Приложение №1'!P307-'Приложение №1'!Q307-'Приложение №1'!R307</f>
        <v>0</v>
      </c>
      <c r="T307" s="108">
        <f>+'Приложение №2'!E307-'Приложение №1'!P307-'Приложение №1'!Q307-'Приложение №1'!R307-'Приложение №1'!S307</f>
        <v>0</v>
      </c>
      <c r="U307" s="107">
        <f t="shared" si="97"/>
        <v>1159.1932760583552</v>
      </c>
      <c r="V307" s="107">
        <f t="shared" si="97"/>
        <v>1159.1932760583552</v>
      </c>
      <c r="W307" s="135">
        <v>2023</v>
      </c>
      <c r="X307" s="28" t="e">
        <f>+#REF!-'[1]Приложение №1'!$P1638</f>
        <v>#REF!</v>
      </c>
      <c r="Z307" s="30">
        <f t="shared" si="99"/>
        <v>13604861.210000001</v>
      </c>
      <c r="AA307" s="26">
        <v>2981304.8663361603</v>
      </c>
      <c r="AB307" s="26">
        <v>1062361.4877094799</v>
      </c>
      <c r="AC307" s="26">
        <v>1109931.3752150398</v>
      </c>
      <c r="AD307" s="26">
        <v>694887.21792840003</v>
      </c>
      <c r="AE307" s="26">
        <v>425157.36756066006</v>
      </c>
      <c r="AF307" s="26"/>
      <c r="AG307" s="26">
        <v>114400.82936267999</v>
      </c>
      <c r="AH307" s="26">
        <v>0</v>
      </c>
      <c r="AI307" s="26">
        <v>5450278.9118777998</v>
      </c>
      <c r="AJ307" s="26">
        <v>0</v>
      </c>
      <c r="AK307" s="26">
        <v>0</v>
      </c>
      <c r="AL307" s="26">
        <v>0</v>
      </c>
      <c r="AM307" s="26">
        <v>1371610.4151999999</v>
      </c>
      <c r="AN307" s="31">
        <v>136048.6121</v>
      </c>
      <c r="AO307" s="32">
        <v>258880.12670978002</v>
      </c>
      <c r="AP307" s="77">
        <f>+N307-'Приложение №2'!E307</f>
        <v>0</v>
      </c>
      <c r="AQ307" s="1">
        <v>546149.31000000006</v>
      </c>
      <c r="AR307" s="1">
        <f t="shared" si="98"/>
        <v>127387.8</v>
      </c>
      <c r="AS307" s="1">
        <f>+(K307*10+L307*20)*12*30</f>
        <v>4496040</v>
      </c>
      <c r="AT307" s="28">
        <f t="shared" si="90"/>
        <v>-4496040</v>
      </c>
      <c r="AU307" s="28">
        <f>+P307-'[6]Приложение №1'!$P293</f>
        <v>0</v>
      </c>
      <c r="AV307" s="28">
        <f>+Q307-'[6]Приложение №1'!$Q293</f>
        <v>0</v>
      </c>
      <c r="AW307" s="28">
        <f>+R307-'[6]Приложение №1'!$R293</f>
        <v>0</v>
      </c>
      <c r="AX307" s="28">
        <f>+S307-'[6]Приложение №1'!$S293</f>
        <v>0</v>
      </c>
      <c r="AY307" s="28">
        <f>+T307-'[6]Приложение №1'!$T293</f>
        <v>0</v>
      </c>
    </row>
    <row r="308" spans="1:51" x14ac:dyDescent="0.25">
      <c r="A308" s="137">
        <f t="shared" si="96"/>
        <v>290</v>
      </c>
      <c r="B308" s="138">
        <f t="shared" si="96"/>
        <v>102</v>
      </c>
      <c r="C308" s="120" t="s">
        <v>51</v>
      </c>
      <c r="D308" s="120" t="s">
        <v>426</v>
      </c>
      <c r="E308" s="121">
        <v>1961</v>
      </c>
      <c r="F308" s="121">
        <v>2013</v>
      </c>
      <c r="G308" s="121" t="s">
        <v>43</v>
      </c>
      <c r="H308" s="121">
        <v>4</v>
      </c>
      <c r="I308" s="121">
        <v>3</v>
      </c>
      <c r="J308" s="107">
        <v>3049.5</v>
      </c>
      <c r="K308" s="107">
        <v>2277.6</v>
      </c>
      <c r="L308" s="107">
        <v>771.9</v>
      </c>
      <c r="M308" s="122">
        <v>94</v>
      </c>
      <c r="N308" s="133">
        <f t="shared" si="87"/>
        <v>2775681.0349999997</v>
      </c>
      <c r="O308" s="107"/>
      <c r="P308" s="108"/>
      <c r="Q308" s="108"/>
      <c r="R308" s="108">
        <f>+AQ308+AR308</f>
        <v>1931902.32</v>
      </c>
      <c r="S308" s="108">
        <f>+'Приложение №2'!E308-'Приложение №1'!R308</f>
        <v>843778.71499999962</v>
      </c>
      <c r="T308" s="108">
        <v>1.1641532182693481E-10</v>
      </c>
      <c r="U308" s="107">
        <f t="shared" si="97"/>
        <v>910.20857025741918</v>
      </c>
      <c r="V308" s="107">
        <f t="shared" si="97"/>
        <v>910.20857025741918</v>
      </c>
      <c r="W308" s="135">
        <v>2023</v>
      </c>
      <c r="X308" s="28" t="e">
        <f>+#REF!-'[1]Приложение №1'!$P1597</f>
        <v>#REF!</v>
      </c>
      <c r="Z308" s="30">
        <f t="shared" si="99"/>
        <v>13067933.899999999</v>
      </c>
      <c r="AA308" s="26">
        <v>5253036.7368624602</v>
      </c>
      <c r="AB308" s="26">
        <v>1871872.94908698</v>
      </c>
      <c r="AC308" s="26">
        <v>1955690.7227369398</v>
      </c>
      <c r="AD308" s="26">
        <v>1224386.0518469999</v>
      </c>
      <c r="AE308" s="26">
        <v>749124.08010090003</v>
      </c>
      <c r="AF308" s="26"/>
      <c r="AG308" s="26">
        <v>201573.40567307998</v>
      </c>
      <c r="AH308" s="26">
        <v>0</v>
      </c>
      <c r="AI308" s="26">
        <v>0</v>
      </c>
      <c r="AJ308" s="26">
        <v>0</v>
      </c>
      <c r="AK308" s="26">
        <v>0</v>
      </c>
      <c r="AL308" s="26">
        <v>0</v>
      </c>
      <c r="AM308" s="26">
        <v>1435431.6034000001</v>
      </c>
      <c r="AN308" s="31">
        <v>130679.33899999999</v>
      </c>
      <c r="AO308" s="32">
        <v>246139.01129264</v>
      </c>
      <c r="AP308" s="77">
        <f>+N308-'Приложение №2'!E308</f>
        <v>0</v>
      </c>
      <c r="AQ308" s="28">
        <f>1647685.87-R104</f>
        <v>1542119.52</v>
      </c>
      <c r="AR308" s="1">
        <f t="shared" si="98"/>
        <v>389782.8</v>
      </c>
      <c r="AS308" s="1">
        <f>+(K308*10+L308*20)*12*30-S104</f>
        <v>12760046.104623919</v>
      </c>
      <c r="AT308" s="28">
        <f t="shared" si="90"/>
        <v>-11916267.38962392</v>
      </c>
      <c r="AU308" s="28">
        <f>+P308-'[6]Приложение №1'!$P294</f>
        <v>-3218407.5900000003</v>
      </c>
      <c r="AV308" s="28">
        <f>+Q308-'[6]Приложение №1'!$Q294</f>
        <v>0</v>
      </c>
      <c r="AW308" s="28">
        <f>+R308-'[6]Приложение №1'!$R294</f>
        <v>1564866.87</v>
      </c>
      <c r="AX308" s="28">
        <f>+S308-'[6]Приложение №1'!$S294</f>
        <v>-40346.730000000447</v>
      </c>
      <c r="AY308" s="28">
        <f>+T308-'[6]Приложение №1'!$T294</f>
        <v>0</v>
      </c>
    </row>
    <row r="309" spans="1:51" x14ac:dyDescent="0.25">
      <c r="A309" s="137">
        <f t="shared" si="96"/>
        <v>291</v>
      </c>
      <c r="B309" s="138">
        <f t="shared" si="96"/>
        <v>103</v>
      </c>
      <c r="C309" s="120" t="s">
        <v>51</v>
      </c>
      <c r="D309" s="120" t="s">
        <v>476</v>
      </c>
      <c r="E309" s="121">
        <v>1981</v>
      </c>
      <c r="F309" s="121">
        <v>2013</v>
      </c>
      <c r="G309" s="121" t="s">
        <v>83</v>
      </c>
      <c r="H309" s="121">
        <v>5</v>
      </c>
      <c r="I309" s="121">
        <v>4</v>
      </c>
      <c r="J309" s="107">
        <v>4887.3</v>
      </c>
      <c r="K309" s="107">
        <v>4312.8999999999996</v>
      </c>
      <c r="L309" s="107">
        <v>0</v>
      </c>
      <c r="M309" s="122">
        <v>194</v>
      </c>
      <c r="N309" s="133">
        <f t="shared" si="87"/>
        <v>14886688.384542881</v>
      </c>
      <c r="O309" s="107"/>
      <c r="P309" s="108">
        <v>10420005.460000001</v>
      </c>
      <c r="Q309" s="108"/>
      <c r="R309" s="108">
        <v>729880.66454287991</v>
      </c>
      <c r="S309" s="108">
        <v>3736802.26</v>
      </c>
      <c r="T309" s="107">
        <f>+'Приложение №2'!E309-'Приложение №1'!P309-'Приложение №1'!Q309-'Приложение №1'!R309-'Приложение №1'!S309</f>
        <v>0</v>
      </c>
      <c r="U309" s="108">
        <f t="shared" si="97"/>
        <v>3451.6655578712425</v>
      </c>
      <c r="V309" s="108">
        <f t="shared" si="97"/>
        <v>3451.6655578712425</v>
      </c>
      <c r="W309" s="135">
        <v>2023</v>
      </c>
      <c r="X309" s="28" t="e">
        <f>+#REF!-'[1]Приложение №1'!$P1077</f>
        <v>#REF!</v>
      </c>
      <c r="Z309" s="30">
        <f t="shared" si="99"/>
        <v>78714458.100000009</v>
      </c>
      <c r="AA309" s="26">
        <v>7207971.2584861796</v>
      </c>
      <c r="AB309" s="26">
        <v>4168566.8282411997</v>
      </c>
      <c r="AC309" s="26">
        <v>4406483.7908326201</v>
      </c>
      <c r="AD309" s="26">
        <v>3359981.3480309998</v>
      </c>
      <c r="AE309" s="26">
        <v>1342243.77142212</v>
      </c>
      <c r="AF309" s="26"/>
      <c r="AG309" s="26">
        <v>358162.19323499996</v>
      </c>
      <c r="AH309" s="26">
        <v>0</v>
      </c>
      <c r="AI309" s="26">
        <v>12831286.273936201</v>
      </c>
      <c r="AJ309" s="26">
        <v>0</v>
      </c>
      <c r="AK309" s="26">
        <v>24912015.084657121</v>
      </c>
      <c r="AL309" s="26">
        <v>9797576.0184224993</v>
      </c>
      <c r="AM309" s="26">
        <v>8047601.1061000004</v>
      </c>
      <c r="AN309" s="31">
        <v>787144.58100000001</v>
      </c>
      <c r="AO309" s="32">
        <v>1495425.8456360602</v>
      </c>
      <c r="AP309" s="77">
        <f>+N309-'Приложение №2'!E309</f>
        <v>0</v>
      </c>
      <c r="AQ309" s="1">
        <v>1978942.68</v>
      </c>
      <c r="AR309" s="1">
        <f t="shared" si="98"/>
        <v>439915.8</v>
      </c>
      <c r="AS309" s="1">
        <f>+(K309*10+L309*20)*12*30</f>
        <v>15526440</v>
      </c>
      <c r="AT309" s="28">
        <f t="shared" si="90"/>
        <v>-11789637.74</v>
      </c>
      <c r="AU309" s="28">
        <f>+P309-'[6]Приложение №1'!$P295</f>
        <v>0</v>
      </c>
      <c r="AV309" s="28">
        <f>+Q309-'[6]Приложение №1'!$Q295</f>
        <v>0</v>
      </c>
      <c r="AW309" s="28">
        <f>+R309-'[6]Приложение №1'!$R295</f>
        <v>0</v>
      </c>
      <c r="AX309" s="28">
        <f>+S309-'[6]Приложение №1'!$S295</f>
        <v>0</v>
      </c>
      <c r="AY309" s="28">
        <f>+T309-'[6]Приложение №1'!$T295</f>
        <v>0</v>
      </c>
    </row>
    <row r="310" spans="1:51" x14ac:dyDescent="0.25">
      <c r="A310" s="137">
        <f t="shared" si="96"/>
        <v>292</v>
      </c>
      <c r="B310" s="138">
        <f t="shared" si="96"/>
        <v>104</v>
      </c>
      <c r="C310" s="120" t="s">
        <v>51</v>
      </c>
      <c r="D310" s="120" t="s">
        <v>425</v>
      </c>
      <c r="E310" s="121">
        <v>1979</v>
      </c>
      <c r="F310" s="121">
        <v>2013</v>
      </c>
      <c r="G310" s="121" t="s">
        <v>83</v>
      </c>
      <c r="H310" s="121">
        <v>4</v>
      </c>
      <c r="I310" s="121">
        <v>4</v>
      </c>
      <c r="J310" s="107">
        <v>3969.95</v>
      </c>
      <c r="K310" s="107">
        <v>3453.7</v>
      </c>
      <c r="L310" s="107">
        <v>0</v>
      </c>
      <c r="M310" s="122">
        <v>154</v>
      </c>
      <c r="N310" s="133">
        <f t="shared" si="87"/>
        <v>2425305.8059979999</v>
      </c>
      <c r="O310" s="107"/>
      <c r="P310" s="108"/>
      <c r="Q310" s="108"/>
      <c r="R310" s="108">
        <f>+AQ310+AR310-102179.5</f>
        <v>1705810.5499999998</v>
      </c>
      <c r="S310" s="108">
        <f>+'Приложение №2'!E310-'Приложение №1'!R310</f>
        <v>719495.25599800004</v>
      </c>
      <c r="T310" s="107">
        <f>+'Приложение №2'!E310-'Приложение №1'!P310-'Приложение №1'!Q310-'Приложение №1'!R310-'Приложение №1'!S310</f>
        <v>0</v>
      </c>
      <c r="U310" s="108">
        <f t="shared" si="97"/>
        <v>702.23406954802101</v>
      </c>
      <c r="V310" s="108">
        <f t="shared" si="97"/>
        <v>702.23406954802101</v>
      </c>
      <c r="W310" s="135">
        <v>2023</v>
      </c>
      <c r="X310" s="28" t="e">
        <f>+#REF!-'[1]Приложение №1'!$P1280</f>
        <v>#REF!</v>
      </c>
      <c r="Z310" s="30">
        <f t="shared" si="99"/>
        <v>19594173.580000002</v>
      </c>
      <c r="AA310" s="26">
        <v>5813706.7057906203</v>
      </c>
      <c r="AB310" s="26">
        <v>3362225.5261996798</v>
      </c>
      <c r="AC310" s="26">
        <v>3554121.3229787997</v>
      </c>
      <c r="AD310" s="26">
        <v>2710047.7279637996</v>
      </c>
      <c r="AE310" s="26">
        <v>1082608.5872498399</v>
      </c>
      <c r="AF310" s="26"/>
      <c r="AG310" s="26">
        <v>288881.55977184005</v>
      </c>
      <c r="AH310" s="26">
        <v>0</v>
      </c>
      <c r="AI310" s="26">
        <v>0</v>
      </c>
      <c r="AJ310" s="26">
        <v>0</v>
      </c>
      <c r="AK310" s="26">
        <v>0</v>
      </c>
      <c r="AL310" s="26">
        <v>0</v>
      </c>
      <c r="AM310" s="26">
        <v>2219004.9588999995</v>
      </c>
      <c r="AN310" s="31">
        <v>195941.73580000002</v>
      </c>
      <c r="AO310" s="32">
        <v>367635.45534541999</v>
      </c>
      <c r="AP310" s="77">
        <f>+N310-'Приложение №2'!E310</f>
        <v>0</v>
      </c>
      <c r="AQ310" s="1">
        <v>1455712.65</v>
      </c>
      <c r="AR310" s="1">
        <f t="shared" si="98"/>
        <v>352277.39999999997</v>
      </c>
      <c r="AS310" s="1">
        <f>+(K310*10+L310*20)*12*30</f>
        <v>12433320</v>
      </c>
      <c r="AT310" s="28">
        <f t="shared" si="90"/>
        <v>-11713824.744001999</v>
      </c>
      <c r="AU310" s="28">
        <f>+P310-'[6]Приложение №1'!$P296</f>
        <v>-4346316.5754666664</v>
      </c>
      <c r="AV310" s="28">
        <f>+Q310-'[6]Приложение №1'!$Q296</f>
        <v>0</v>
      </c>
      <c r="AW310" s="28">
        <f>+R310-'[6]Приложение №1'!$R296</f>
        <v>0</v>
      </c>
      <c r="AX310" s="28">
        <f>+S310-'[6]Приложение №1'!$S296</f>
        <v>0</v>
      </c>
      <c r="AY310" s="28">
        <f>+T310-'[6]Приложение №1'!$T296</f>
        <v>0</v>
      </c>
    </row>
    <row r="311" spans="1:51" x14ac:dyDescent="0.25">
      <c r="A311" s="137">
        <f t="shared" si="96"/>
        <v>293</v>
      </c>
      <c r="B311" s="138">
        <f t="shared" si="96"/>
        <v>105</v>
      </c>
      <c r="C311" s="120" t="s">
        <v>51</v>
      </c>
      <c r="D311" s="120" t="s">
        <v>173</v>
      </c>
      <c r="E311" s="121">
        <v>1963</v>
      </c>
      <c r="F311" s="121">
        <v>2005</v>
      </c>
      <c r="G311" s="121" t="s">
        <v>43</v>
      </c>
      <c r="H311" s="121">
        <v>4</v>
      </c>
      <c r="I311" s="121">
        <v>2</v>
      </c>
      <c r="J311" s="107">
        <v>1240.4000000000001</v>
      </c>
      <c r="K311" s="107">
        <v>1075.8</v>
      </c>
      <c r="L311" s="107">
        <v>111.9</v>
      </c>
      <c r="M311" s="122">
        <v>70</v>
      </c>
      <c r="N311" s="133">
        <f t="shared" si="87"/>
        <v>3379171.1646039202</v>
      </c>
      <c r="O311" s="107"/>
      <c r="P311" s="108"/>
      <c r="Q311" s="108"/>
      <c r="R311" s="108">
        <f>+AQ311+AR311-247714.13</f>
        <v>554474.5199999999</v>
      </c>
      <c r="S311" s="108">
        <f>+'Приложение №2'!E311-'Приложение №1'!R311</f>
        <v>2824696.6446039202</v>
      </c>
      <c r="T311" s="108">
        <f>+'Приложение №2'!E311-'Приложение №1'!P311-'Приложение №1'!Q311-'Приложение №1'!R311-'Приложение №1'!S311</f>
        <v>0</v>
      </c>
      <c r="U311" s="107">
        <f t="shared" si="97"/>
        <v>2845.1386415794564</v>
      </c>
      <c r="V311" s="107">
        <f t="shared" si="97"/>
        <v>2845.1386415794564</v>
      </c>
      <c r="W311" s="135">
        <v>2023</v>
      </c>
      <c r="X311" s="28" t="e">
        <f>+#REF!-'[1]Приложение №1'!$P1641</f>
        <v>#REF!</v>
      </c>
      <c r="Z311" s="30">
        <f t="shared" si="99"/>
        <v>6371609.4744707597</v>
      </c>
      <c r="AA311" s="26">
        <v>2696472.9036772796</v>
      </c>
      <c r="AB311" s="26">
        <v>960864.14913719997</v>
      </c>
      <c r="AC311" s="26"/>
      <c r="AD311" s="26">
        <v>628498.13628335996</v>
      </c>
      <c r="AE311" s="26">
        <v>384538.10584644001</v>
      </c>
      <c r="AF311" s="26"/>
      <c r="AG311" s="26">
        <v>103471.04618424</v>
      </c>
      <c r="AH311" s="26">
        <v>0</v>
      </c>
      <c r="AI311" s="26"/>
      <c r="AJ311" s="26">
        <v>0</v>
      </c>
      <c r="AK311" s="26">
        <v>0</v>
      </c>
      <c r="AL311" s="26">
        <v>0</v>
      </c>
      <c r="AM311" s="26">
        <v>1240567.6336999999</v>
      </c>
      <c r="AN311" s="31">
        <v>123050.61470000001</v>
      </c>
      <c r="AO311" s="32">
        <v>234146.88494223999</v>
      </c>
      <c r="AP311" s="77">
        <f>+N311-'Приложение №2'!E311</f>
        <v>0</v>
      </c>
      <c r="AQ311" s="1">
        <v>669629.44999999995</v>
      </c>
      <c r="AR311" s="1">
        <f t="shared" si="98"/>
        <v>132559.19999999998</v>
      </c>
      <c r="AS311" s="1">
        <f>+(K311*10+L311*20)*12*30-1442997.24</f>
        <v>3235562.76</v>
      </c>
      <c r="AT311" s="28">
        <f t="shared" si="90"/>
        <v>-410866.11539607961</v>
      </c>
      <c r="AU311" s="28">
        <f>+P311-'[6]Приложение №1'!$P297</f>
        <v>-4427463.1917000003</v>
      </c>
      <c r="AV311" s="28">
        <f>+Q311-'[6]Приложение №1'!$Q297</f>
        <v>0</v>
      </c>
      <c r="AW311" s="28">
        <f>+R311-'[6]Приложение №1'!$R297</f>
        <v>0</v>
      </c>
      <c r="AX311" s="28">
        <f>+S311-'[6]Приложение №1'!$S297</f>
        <v>0</v>
      </c>
      <c r="AY311" s="28">
        <f>+T311-'[6]Приложение №1'!$T297</f>
        <v>0</v>
      </c>
    </row>
    <row r="312" spans="1:51" s="34" customFormat="1" x14ac:dyDescent="0.25">
      <c r="A312" s="137">
        <f t="shared" si="96"/>
        <v>294</v>
      </c>
      <c r="B312" s="138">
        <f t="shared" si="96"/>
        <v>106</v>
      </c>
      <c r="C312" s="120" t="s">
        <v>92</v>
      </c>
      <c r="D312" s="120" t="s">
        <v>477</v>
      </c>
      <c r="E312" s="121" t="s">
        <v>111</v>
      </c>
      <c r="F312" s="121"/>
      <c r="G312" s="121" t="s">
        <v>43</v>
      </c>
      <c r="H312" s="121" t="s">
        <v>101</v>
      </c>
      <c r="I312" s="121" t="s">
        <v>95</v>
      </c>
      <c r="J312" s="107">
        <v>2017.1</v>
      </c>
      <c r="K312" s="107">
        <v>1568.7</v>
      </c>
      <c r="L312" s="107">
        <v>241.9</v>
      </c>
      <c r="M312" s="122">
        <v>64</v>
      </c>
      <c r="N312" s="133">
        <f t="shared" si="87"/>
        <v>28649224.581331842</v>
      </c>
      <c r="O312" s="107">
        <v>0</v>
      </c>
      <c r="P312" s="108">
        <v>6968602.897110614</v>
      </c>
      <c r="Q312" s="108">
        <v>0</v>
      </c>
      <c r="R312" s="108">
        <f>+AQ312+AR312</f>
        <v>1239934.29</v>
      </c>
      <c r="S312" s="108">
        <f>+AS312</f>
        <v>7389000</v>
      </c>
      <c r="T312" s="108">
        <f>+'Приложение №2'!E312-'Приложение №1'!P312-'Приложение №1'!R312-'Приложение №1'!S312</f>
        <v>13051687.394221228</v>
      </c>
      <c r="U312" s="107">
        <f t="shared" si="97"/>
        <v>15823.055661842394</v>
      </c>
      <c r="V312" s="107">
        <f t="shared" si="97"/>
        <v>15823.055661842394</v>
      </c>
      <c r="W312" s="135">
        <v>2023</v>
      </c>
      <c r="X312" s="34">
        <v>737547.36</v>
      </c>
      <c r="Y312" s="34">
        <f>+(K312*9.1+L312*18.19)*12</f>
        <v>224103.97199999998</v>
      </c>
      <c r="AA312" s="35">
        <f>+N312-'[5]Приложение № 2'!E283</f>
        <v>24291687.991331842</v>
      </c>
      <c r="AD312" s="35">
        <f>+N312-'[5]Приложение № 2'!E283</f>
        <v>24291687.991331842</v>
      </c>
      <c r="AP312" s="77">
        <f>+N312-'Приложение №2'!E312</f>
        <v>0</v>
      </c>
      <c r="AQ312" s="34">
        <v>1030579.29</v>
      </c>
      <c r="AR312" s="1">
        <f t="shared" si="98"/>
        <v>209355</v>
      </c>
      <c r="AS312" s="1">
        <f>+(K312*10+L312*20)*12*30</f>
        <v>7389000</v>
      </c>
      <c r="AT312" s="28">
        <f t="shared" si="90"/>
        <v>0</v>
      </c>
      <c r="AU312" s="28">
        <f>+P312-'[6]Приложение №1'!$P298</f>
        <v>0</v>
      </c>
      <c r="AV312" s="28">
        <f>+Q312-'[6]Приложение №1'!$Q298</f>
        <v>0</v>
      </c>
      <c r="AW312" s="28">
        <f>+R312-'[6]Приложение №1'!$R298</f>
        <v>0</v>
      </c>
      <c r="AX312" s="28">
        <f>+S312-'[6]Приложение №1'!$S298</f>
        <v>0</v>
      </c>
      <c r="AY312" s="28">
        <f>+T312-'[6]Приложение №1'!$T298</f>
        <v>0</v>
      </c>
    </row>
    <row r="313" spans="1:51" x14ac:dyDescent="0.25">
      <c r="A313" s="137">
        <f t="shared" ref="A313:B328" si="100">+A312+1</f>
        <v>295</v>
      </c>
      <c r="B313" s="138">
        <f t="shared" si="100"/>
        <v>107</v>
      </c>
      <c r="C313" s="120" t="s">
        <v>51</v>
      </c>
      <c r="D313" s="120" t="s">
        <v>236</v>
      </c>
      <c r="E313" s="121">
        <v>1977</v>
      </c>
      <c r="F313" s="121">
        <v>2013</v>
      </c>
      <c r="G313" s="121" t="s">
        <v>83</v>
      </c>
      <c r="H313" s="121">
        <v>4</v>
      </c>
      <c r="I313" s="121">
        <v>4</v>
      </c>
      <c r="J313" s="107">
        <v>3916.4</v>
      </c>
      <c r="K313" s="107">
        <v>3440.3</v>
      </c>
      <c r="L313" s="107">
        <v>0</v>
      </c>
      <c r="M313" s="122">
        <v>163</v>
      </c>
      <c r="N313" s="133">
        <f t="shared" si="87"/>
        <v>15174875.683114039</v>
      </c>
      <c r="O313" s="107"/>
      <c r="P313" s="108">
        <v>3132903.93</v>
      </c>
      <c r="Q313" s="108"/>
      <c r="R313" s="108">
        <f>+AQ313+AR313+126392.79</f>
        <v>191703.25999999983</v>
      </c>
      <c r="S313" s="108">
        <v>770890.55</v>
      </c>
      <c r="T313" s="108">
        <f>+'Приложение №2'!E313-'Приложение №1'!P313-'Приложение №1'!R313-'Приложение №1'!S313</f>
        <v>11079377.943114039</v>
      </c>
      <c r="U313" s="107">
        <f t="shared" si="97"/>
        <v>4410.9163977310227</v>
      </c>
      <c r="V313" s="107">
        <f t="shared" si="97"/>
        <v>4410.9163977310227</v>
      </c>
      <c r="W313" s="135">
        <v>2023</v>
      </c>
      <c r="X313" s="28" t="e">
        <f>+#REF!-'[1]Приложение №1'!$P1319</f>
        <v>#REF!</v>
      </c>
      <c r="Z313" s="30">
        <f t="shared" ref="Z313:Z325" si="101">SUM(AA313:AO313)</f>
        <v>62685332.069999993</v>
      </c>
      <c r="AA313" s="26">
        <v>5740166.195995139</v>
      </c>
      <c r="AB313" s="26">
        <v>3319695.0395049001</v>
      </c>
      <c r="AC313" s="26">
        <v>3509163.4526478597</v>
      </c>
      <c r="AD313" s="26">
        <v>2675766.9644319597</v>
      </c>
      <c r="AE313" s="26">
        <v>1068914.1259818</v>
      </c>
      <c r="AF313" s="26"/>
      <c r="AG313" s="26">
        <v>285227.34661260003</v>
      </c>
      <c r="AH313" s="26">
        <v>0</v>
      </c>
      <c r="AI313" s="26">
        <v>10218369.797231399</v>
      </c>
      <c r="AJ313" s="26">
        <v>0</v>
      </c>
      <c r="AK313" s="26">
        <v>19839022.919366278</v>
      </c>
      <c r="AL313" s="26">
        <v>7802433.2655801</v>
      </c>
      <c r="AM313" s="26">
        <v>6408816.8779000007</v>
      </c>
      <c r="AN313" s="31">
        <v>626853.32070000004</v>
      </c>
      <c r="AO313" s="32">
        <v>1190902.7640479603</v>
      </c>
      <c r="AP313" s="77">
        <f>+N313-'Приложение №2'!E313</f>
        <v>0</v>
      </c>
      <c r="AQ313" s="28">
        <f>1681538.39-R107</f>
        <v>-285600.13000000012</v>
      </c>
      <c r="AR313" s="1">
        <f t="shared" si="98"/>
        <v>350910.6</v>
      </c>
      <c r="AS313" s="1">
        <f>+(K313*10+L313*20)*12*30-S107</f>
        <v>138784.60031336173</v>
      </c>
      <c r="AT313" s="28">
        <f t="shared" si="90"/>
        <v>632105.94968663831</v>
      </c>
      <c r="AU313" s="28">
        <f>+P313-'[6]Приложение №1'!$P300</f>
        <v>-236791.17584866658</v>
      </c>
      <c r="AV313" s="28">
        <f>+Q313-'[6]Приложение №1'!$Q300</f>
        <v>0</v>
      </c>
      <c r="AW313" s="28">
        <f>+R313-'[6]Приложение №1'!$R300</f>
        <v>89770.079999999783</v>
      </c>
      <c r="AX313" s="28">
        <f>+S313-'[6]Приложение №1'!$S300</f>
        <v>770890.55</v>
      </c>
      <c r="AY313" s="28">
        <f>+T313-'[6]Приложение №1'!$T300</f>
        <v>4769800.9558486659</v>
      </c>
    </row>
    <row r="314" spans="1:51" x14ac:dyDescent="0.25">
      <c r="A314" s="137">
        <f t="shared" si="100"/>
        <v>296</v>
      </c>
      <c r="B314" s="138">
        <f t="shared" si="100"/>
        <v>108</v>
      </c>
      <c r="C314" s="120" t="s">
        <v>51</v>
      </c>
      <c r="D314" s="120" t="s">
        <v>478</v>
      </c>
      <c r="E314" s="121">
        <v>1972</v>
      </c>
      <c r="F314" s="121">
        <v>2013</v>
      </c>
      <c r="G314" s="121" t="s">
        <v>83</v>
      </c>
      <c r="H314" s="121">
        <v>4</v>
      </c>
      <c r="I314" s="121">
        <v>4</v>
      </c>
      <c r="J314" s="107">
        <v>4697.3599999999997</v>
      </c>
      <c r="K314" s="107">
        <v>3448.5</v>
      </c>
      <c r="L314" s="107">
        <v>0</v>
      </c>
      <c r="M314" s="122">
        <v>140</v>
      </c>
      <c r="N314" s="133">
        <f t="shared" si="87"/>
        <v>1535156.8941092999</v>
      </c>
      <c r="O314" s="107"/>
      <c r="P314" s="108"/>
      <c r="Q314" s="108"/>
      <c r="R314" s="108">
        <f>+'Приложение №2'!E314</f>
        <v>1535156.8941092999</v>
      </c>
      <c r="S314" s="108">
        <f>+'Приложение №2'!E314-'Приложение №1'!R314</f>
        <v>0</v>
      </c>
      <c r="T314" s="108">
        <v>0</v>
      </c>
      <c r="U314" s="107">
        <f t="shared" si="97"/>
        <v>445.16656346507176</v>
      </c>
      <c r="V314" s="107">
        <f t="shared" si="97"/>
        <v>445.16656346507176</v>
      </c>
      <c r="W314" s="135">
        <v>2023</v>
      </c>
      <c r="X314" s="28" t="e">
        <f>+#REF!-'[1]Приложение №1'!$P682</f>
        <v>#REF!</v>
      </c>
      <c r="Y314" s="1" t="s">
        <v>84</v>
      </c>
      <c r="Z314" s="30">
        <f t="shared" si="101"/>
        <v>10605893.634176001</v>
      </c>
      <c r="AA314" s="26">
        <v>0</v>
      </c>
      <c r="AB314" s="26">
        <v>0</v>
      </c>
      <c r="AC314" s="26">
        <v>0</v>
      </c>
      <c r="AD314" s="26">
        <v>0</v>
      </c>
      <c r="AE314" s="26">
        <v>1356649.13</v>
      </c>
      <c r="AF314" s="26"/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6">
        <v>7865518.9895666996</v>
      </c>
      <c r="AM314" s="26">
        <v>1112408.5150000001</v>
      </c>
      <c r="AN314" s="31">
        <v>92809.23550000001</v>
      </c>
      <c r="AO314" s="32">
        <v>178507.76410930001</v>
      </c>
      <c r="AP314" s="77">
        <f>+N314-'Приложение №2'!E314</f>
        <v>0</v>
      </c>
      <c r="AQ314" s="1">
        <v>1644538</v>
      </c>
      <c r="AR314" s="1">
        <f t="shared" si="98"/>
        <v>351747</v>
      </c>
      <c r="AS314" s="1">
        <f t="shared" ref="AS314:AS321" si="102">+(K314*10+L314*20)*12*30</f>
        <v>12414600</v>
      </c>
      <c r="AT314" s="28">
        <f t="shared" si="90"/>
        <v>-12414600</v>
      </c>
      <c r="AU314" s="28">
        <f>+P314-'[6]Приложение №1'!$P301</f>
        <v>-7697397.540000001</v>
      </c>
      <c r="AV314" s="28">
        <f>+Q314-'[6]Приложение №1'!$Q301</f>
        <v>0</v>
      </c>
      <c r="AW314" s="28">
        <f>+R314-'[6]Приложение №1'!$R301</f>
        <v>0</v>
      </c>
      <c r="AX314" s="28">
        <f>+S314-'[6]Приложение №1'!$S301</f>
        <v>0</v>
      </c>
      <c r="AY314" s="28">
        <f>+T314-'[6]Приложение №1'!$T301</f>
        <v>0</v>
      </c>
    </row>
    <row r="315" spans="1:51" x14ac:dyDescent="0.25">
      <c r="A315" s="137">
        <f t="shared" si="100"/>
        <v>297</v>
      </c>
      <c r="B315" s="138">
        <f t="shared" si="100"/>
        <v>109</v>
      </c>
      <c r="C315" s="120" t="s">
        <v>51</v>
      </c>
      <c r="D315" s="120" t="s">
        <v>479</v>
      </c>
      <c r="E315" s="121">
        <v>1971</v>
      </c>
      <c r="F315" s="121">
        <v>2013</v>
      </c>
      <c r="G315" s="121" t="s">
        <v>83</v>
      </c>
      <c r="H315" s="121">
        <v>4</v>
      </c>
      <c r="I315" s="121">
        <v>4</v>
      </c>
      <c r="J315" s="107">
        <v>4741.46</v>
      </c>
      <c r="K315" s="107">
        <v>3462.3</v>
      </c>
      <c r="L315" s="107">
        <v>0</v>
      </c>
      <c r="M315" s="122">
        <v>145</v>
      </c>
      <c r="N315" s="133">
        <f t="shared" si="87"/>
        <v>1572957.3080766001</v>
      </c>
      <c r="O315" s="107"/>
      <c r="P315" s="108"/>
      <c r="Q315" s="108"/>
      <c r="R315" s="108">
        <f>+'Приложение №2'!E315</f>
        <v>1572957.3080766001</v>
      </c>
      <c r="S315" s="108">
        <f>+'Приложение №2'!E315-'Приложение №1'!R315</f>
        <v>0</v>
      </c>
      <c r="T315" s="108">
        <v>0</v>
      </c>
      <c r="U315" s="107">
        <f t="shared" si="97"/>
        <v>454.30994081292783</v>
      </c>
      <c r="V315" s="107">
        <f t="shared" si="97"/>
        <v>454.30994081292783</v>
      </c>
      <c r="W315" s="135">
        <v>2023</v>
      </c>
      <c r="X315" s="28" t="e">
        <f>+#REF!-'[1]Приложение №1'!$P683</f>
        <v>#REF!</v>
      </c>
      <c r="Z315" s="30">
        <f t="shared" si="101"/>
        <v>2790814.3390765996</v>
      </c>
      <c r="AA315" s="26">
        <v>0</v>
      </c>
      <c r="AB315" s="26">
        <v>0</v>
      </c>
      <c r="AC315" s="26">
        <v>0</v>
      </c>
      <c r="AD315" s="26">
        <v>0</v>
      </c>
      <c r="AE315" s="26">
        <v>1392786.91</v>
      </c>
      <c r="AF315" s="26"/>
      <c r="AG315" s="26">
        <v>0</v>
      </c>
      <c r="AH315" s="26">
        <v>0</v>
      </c>
      <c r="AI315" s="26">
        <v>0</v>
      </c>
      <c r="AJ315" s="26">
        <v>0</v>
      </c>
      <c r="AK315" s="26">
        <v>0</v>
      </c>
      <c r="AL315" s="26"/>
      <c r="AM315" s="26">
        <v>1123898.77</v>
      </c>
      <c r="AN315" s="31">
        <v>93958.260999999999</v>
      </c>
      <c r="AO315" s="32">
        <v>180170.39807660005</v>
      </c>
      <c r="AP315" s="77">
        <f>+N315-'Приложение №2'!E315</f>
        <v>0</v>
      </c>
      <c r="AQ315" s="1">
        <v>1642541.21</v>
      </c>
      <c r="AR315" s="1">
        <f t="shared" si="98"/>
        <v>353154.6</v>
      </c>
      <c r="AS315" s="1">
        <f t="shared" si="102"/>
        <v>12464280</v>
      </c>
      <c r="AT315" s="28">
        <f t="shared" si="90"/>
        <v>-12464280</v>
      </c>
      <c r="AU315" s="28">
        <f>+P315-'[6]Приложение №1'!$P302</f>
        <v>0</v>
      </c>
      <c r="AV315" s="28">
        <f>+Q315-'[6]Приложение №1'!$Q302</f>
        <v>0</v>
      </c>
      <c r="AW315" s="28">
        <f>+R315-'[6]Приложение №1'!$R302</f>
        <v>0</v>
      </c>
      <c r="AX315" s="28">
        <f>+S315-'[6]Приложение №1'!$S302</f>
        <v>0</v>
      </c>
      <c r="AY315" s="28">
        <f>+T315-'[6]Приложение №1'!$T302</f>
        <v>0</v>
      </c>
    </row>
    <row r="316" spans="1:51" x14ac:dyDescent="0.25">
      <c r="A316" s="137">
        <f t="shared" si="100"/>
        <v>298</v>
      </c>
      <c r="B316" s="138">
        <f t="shared" si="100"/>
        <v>110</v>
      </c>
      <c r="C316" s="120" t="s">
        <v>51</v>
      </c>
      <c r="D316" s="120" t="s">
        <v>480</v>
      </c>
      <c r="E316" s="121">
        <v>1972</v>
      </c>
      <c r="F316" s="121">
        <v>2013</v>
      </c>
      <c r="G316" s="121" t="s">
        <v>83</v>
      </c>
      <c r="H316" s="121">
        <v>4</v>
      </c>
      <c r="I316" s="121">
        <v>4</v>
      </c>
      <c r="J316" s="107">
        <v>4744.0600000000004</v>
      </c>
      <c r="K316" s="107">
        <v>3488.5</v>
      </c>
      <c r="L316" s="107">
        <v>0</v>
      </c>
      <c r="M316" s="122">
        <v>131</v>
      </c>
      <c r="N316" s="133">
        <f t="shared" si="87"/>
        <v>1352653.874176</v>
      </c>
      <c r="O316" s="107"/>
      <c r="P316" s="108"/>
      <c r="Q316" s="108"/>
      <c r="R316" s="108">
        <f>+'Приложение №2'!E316</f>
        <v>1352653.874176</v>
      </c>
      <c r="S316" s="108">
        <f>+'Приложение №2'!E316-'Приложение №1'!R316</f>
        <v>0</v>
      </c>
      <c r="T316" s="108">
        <v>0</v>
      </c>
      <c r="U316" s="107">
        <f t="shared" si="97"/>
        <v>387.74655988992401</v>
      </c>
      <c r="V316" s="107">
        <f t="shared" si="97"/>
        <v>387.74655988992401</v>
      </c>
      <c r="W316" s="135">
        <v>2023</v>
      </c>
      <c r="X316" s="28" t="e">
        <f>+#REF!-'[1]Приложение №1'!$P684</f>
        <v>#REF!</v>
      </c>
      <c r="Z316" s="30">
        <f t="shared" si="101"/>
        <v>10717070.434176002</v>
      </c>
      <c r="AA316" s="26">
        <v>0</v>
      </c>
      <c r="AB316" s="26">
        <v>0</v>
      </c>
      <c r="AC316" s="26">
        <v>0</v>
      </c>
      <c r="AD316" s="26">
        <v>0</v>
      </c>
      <c r="AE316" s="26">
        <v>1346427.66</v>
      </c>
      <c r="AF316" s="26"/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6">
        <v>7971493.9287816007</v>
      </c>
      <c r="AM316" s="26">
        <v>1124576.2</v>
      </c>
      <c r="AN316" s="31">
        <v>94026.004000000001</v>
      </c>
      <c r="AO316" s="32">
        <v>180546.64139440004</v>
      </c>
      <c r="AP316" s="77">
        <f>+N316-'Приложение №2'!E316</f>
        <v>0</v>
      </c>
      <c r="AQ316" s="1">
        <v>1719366.16</v>
      </c>
      <c r="AR316" s="1">
        <f t="shared" si="98"/>
        <v>355827</v>
      </c>
      <c r="AS316" s="1">
        <f t="shared" si="102"/>
        <v>12558600</v>
      </c>
      <c r="AT316" s="28">
        <f t="shared" si="90"/>
        <v>-12558600</v>
      </c>
      <c r="AU316" s="28">
        <f>+P316-'[6]Приложение №1'!$P303</f>
        <v>-2008108.1622212788</v>
      </c>
      <c r="AV316" s="28">
        <f>+Q316-'[6]Приложение №1'!$Q303</f>
        <v>0</v>
      </c>
      <c r="AW316" s="28">
        <f>+R316-'[6]Приложение №1'!$R303</f>
        <v>0</v>
      </c>
      <c r="AX316" s="28">
        <f>+S316-'[6]Приложение №1'!$S303</f>
        <v>0</v>
      </c>
      <c r="AY316" s="28">
        <f>+T316-'[6]Приложение №1'!$T303</f>
        <v>0</v>
      </c>
    </row>
    <row r="317" spans="1:51" x14ac:dyDescent="0.25">
      <c r="A317" s="137">
        <f t="shared" si="100"/>
        <v>299</v>
      </c>
      <c r="B317" s="138">
        <f t="shared" si="100"/>
        <v>111</v>
      </c>
      <c r="C317" s="120" t="s">
        <v>51</v>
      </c>
      <c r="D317" s="120" t="s">
        <v>481</v>
      </c>
      <c r="E317" s="121">
        <v>1972</v>
      </c>
      <c r="F317" s="121">
        <v>2013</v>
      </c>
      <c r="G317" s="121" t="s">
        <v>83</v>
      </c>
      <c r="H317" s="121">
        <v>4</v>
      </c>
      <c r="I317" s="121">
        <v>4</v>
      </c>
      <c r="J317" s="107">
        <v>4681.66</v>
      </c>
      <c r="K317" s="107">
        <v>3441.2</v>
      </c>
      <c r="L317" s="107">
        <v>0</v>
      </c>
      <c r="M317" s="122">
        <v>142</v>
      </c>
      <c r="N317" s="133">
        <f t="shared" si="87"/>
        <v>1352798.894176</v>
      </c>
      <c r="O317" s="107"/>
      <c r="P317" s="108"/>
      <c r="Q317" s="108"/>
      <c r="R317" s="108">
        <f>+'Приложение №2'!E317</f>
        <v>1352798.894176</v>
      </c>
      <c r="S317" s="108">
        <f>+'Приложение №2'!E317-'Приложение №1'!R317</f>
        <v>0</v>
      </c>
      <c r="T317" s="108">
        <v>0</v>
      </c>
      <c r="U317" s="107">
        <f t="shared" ref="U317:V335" si="103">$N317/($K317+$L317)</f>
        <v>393.11835818202957</v>
      </c>
      <c r="V317" s="107">
        <f t="shared" si="103"/>
        <v>393.11835818202957</v>
      </c>
      <c r="W317" s="135">
        <v>2023</v>
      </c>
      <c r="X317" s="28" t="e">
        <f>+#REF!-'[1]Приложение №1'!$P685</f>
        <v>#REF!</v>
      </c>
      <c r="Z317" s="30">
        <f t="shared" si="101"/>
        <v>10554632.254175998</v>
      </c>
      <c r="AA317" s="26">
        <v>0</v>
      </c>
      <c r="AB317" s="26">
        <v>0</v>
      </c>
      <c r="AC317" s="26">
        <v>0</v>
      </c>
      <c r="AD317" s="26">
        <v>0</v>
      </c>
      <c r="AE317" s="26">
        <v>1346569.54</v>
      </c>
      <c r="AF317" s="26"/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6">
        <v>7829891.4404087989</v>
      </c>
      <c r="AM317" s="26">
        <v>1108317.8799999999</v>
      </c>
      <c r="AN317" s="31">
        <v>92400.171999999991</v>
      </c>
      <c r="AO317" s="32">
        <v>177453.22176719998</v>
      </c>
      <c r="AP317" s="77">
        <f>+N317-'Приложение №2'!E317</f>
        <v>0</v>
      </c>
      <c r="AQ317" s="1">
        <v>1671383.18</v>
      </c>
      <c r="AR317" s="1">
        <f t="shared" si="98"/>
        <v>351002.39999999997</v>
      </c>
      <c r="AS317" s="1">
        <f t="shared" si="102"/>
        <v>12388320</v>
      </c>
      <c r="AT317" s="28">
        <f t="shared" si="90"/>
        <v>-12388320</v>
      </c>
      <c r="AU317" s="28">
        <f>+P317-'[6]Приложение №1'!$P304</f>
        <v>0</v>
      </c>
      <c r="AV317" s="28">
        <f>+Q317-'[6]Приложение №1'!$Q304</f>
        <v>0</v>
      </c>
      <c r="AW317" s="28">
        <f>+R317-'[6]Приложение №1'!$R304</f>
        <v>0</v>
      </c>
      <c r="AX317" s="28">
        <f>+S317-'[6]Приложение №1'!$S304</f>
        <v>0</v>
      </c>
      <c r="AY317" s="28">
        <f>+T317-'[6]Приложение №1'!$T304</f>
        <v>0</v>
      </c>
    </row>
    <row r="318" spans="1:51" x14ac:dyDescent="0.25">
      <c r="A318" s="137">
        <f t="shared" si="100"/>
        <v>300</v>
      </c>
      <c r="B318" s="138">
        <f t="shared" si="100"/>
        <v>112</v>
      </c>
      <c r="C318" s="120" t="s">
        <v>51</v>
      </c>
      <c r="D318" s="120" t="s">
        <v>482</v>
      </c>
      <c r="E318" s="121">
        <v>1968</v>
      </c>
      <c r="F318" s="121">
        <v>2013</v>
      </c>
      <c r="G318" s="121" t="s">
        <v>43</v>
      </c>
      <c r="H318" s="121">
        <v>4</v>
      </c>
      <c r="I318" s="121">
        <v>4</v>
      </c>
      <c r="J318" s="107">
        <v>2683.3</v>
      </c>
      <c r="K318" s="107">
        <v>2455</v>
      </c>
      <c r="L318" s="107">
        <v>0</v>
      </c>
      <c r="M318" s="122">
        <v>116</v>
      </c>
      <c r="N318" s="133">
        <f t="shared" si="87"/>
        <v>25478711.007879995</v>
      </c>
      <c r="O318" s="107"/>
      <c r="P318" s="108">
        <f>5099328.68+18573.91</f>
        <v>5117902.59</v>
      </c>
      <c r="Q318" s="108"/>
      <c r="R318" s="108">
        <f>+AQ318+AR318</f>
        <v>1189922.94</v>
      </c>
      <c r="S318" s="108">
        <f>+AS318</f>
        <v>8838000</v>
      </c>
      <c r="T318" s="108">
        <f>+'Приложение №2'!E318-'Приложение №1'!P318-'Приложение №1'!R318-'Приложение №1'!S318</f>
        <v>10332885.477879997</v>
      </c>
      <c r="U318" s="107">
        <f t="shared" si="103"/>
        <v>10378.293689564152</v>
      </c>
      <c r="V318" s="107">
        <f t="shared" si="103"/>
        <v>10378.293689564152</v>
      </c>
      <c r="W318" s="135">
        <v>2023</v>
      </c>
      <c r="X318" s="28" t="e">
        <f>+#REF!-'[1]Приложение №1'!$P1472</f>
        <v>#REF!</v>
      </c>
      <c r="Z318" s="30">
        <f t="shared" si="101"/>
        <v>26448146.579999998</v>
      </c>
      <c r="AA318" s="26">
        <v>5795721.6070735799</v>
      </c>
      <c r="AB318" s="26">
        <v>2065253.8792078202</v>
      </c>
      <c r="AC318" s="26">
        <v>2157730.7733307197</v>
      </c>
      <c r="AD318" s="26">
        <v>1350875.8939846801</v>
      </c>
      <c r="AE318" s="26">
        <v>826515.18096840009</v>
      </c>
      <c r="AF318" s="26"/>
      <c r="AG318" s="26">
        <v>222397.71089423998</v>
      </c>
      <c r="AH318" s="26">
        <v>0</v>
      </c>
      <c r="AI318" s="26">
        <v>10595460.935770201</v>
      </c>
      <c r="AJ318" s="26">
        <v>0</v>
      </c>
      <c r="AK318" s="26">
        <v>0</v>
      </c>
      <c r="AL318" s="26">
        <v>0</v>
      </c>
      <c r="AM318" s="26">
        <v>2666440.5268000001</v>
      </c>
      <c r="AN318" s="31">
        <v>264481.46580000001</v>
      </c>
      <c r="AO318" s="32">
        <v>503268.60617036006</v>
      </c>
      <c r="AP318" s="77">
        <f>+N318-'Приложение №2'!E318</f>
        <v>0</v>
      </c>
      <c r="AQ318" s="1">
        <f>1035919.14-96406.2</f>
        <v>939512.94000000006</v>
      </c>
      <c r="AR318" s="1">
        <f t="shared" si="98"/>
        <v>250410</v>
      </c>
      <c r="AS318" s="1">
        <f t="shared" si="102"/>
        <v>8838000</v>
      </c>
      <c r="AT318" s="28">
        <f t="shared" si="90"/>
        <v>0</v>
      </c>
      <c r="AU318" s="28">
        <f>+P318-'[6]Приложение №1'!$P305</f>
        <v>18573.909999999218</v>
      </c>
      <c r="AV318" s="28">
        <f>+Q318-'[6]Приложение №1'!$Q305</f>
        <v>0</v>
      </c>
      <c r="AW318" s="28">
        <f>+R318-'[6]Приложение №1'!$R305</f>
        <v>0</v>
      </c>
      <c r="AX318" s="28">
        <f>+S318-'[6]Приложение №1'!$S305</f>
        <v>0</v>
      </c>
      <c r="AY318" s="28">
        <f>+T318-'[6]Приложение №1'!$T305</f>
        <v>236033.11787999794</v>
      </c>
    </row>
    <row r="319" spans="1:51" x14ac:dyDescent="0.25">
      <c r="A319" s="137">
        <f t="shared" si="100"/>
        <v>301</v>
      </c>
      <c r="B319" s="138">
        <f t="shared" si="100"/>
        <v>113</v>
      </c>
      <c r="C319" s="120" t="s">
        <v>51</v>
      </c>
      <c r="D319" s="120" t="s">
        <v>483</v>
      </c>
      <c r="E319" s="121">
        <v>1970</v>
      </c>
      <c r="F319" s="121">
        <v>2013</v>
      </c>
      <c r="G319" s="121" t="s">
        <v>43</v>
      </c>
      <c r="H319" s="121">
        <v>4</v>
      </c>
      <c r="I319" s="121">
        <v>4</v>
      </c>
      <c r="J319" s="107">
        <v>2722.8</v>
      </c>
      <c r="K319" s="107">
        <v>2468.6999999999998</v>
      </c>
      <c r="L319" s="107">
        <v>72.099999999999994</v>
      </c>
      <c r="M319" s="122">
        <v>146</v>
      </c>
      <c r="N319" s="133">
        <f t="shared" si="87"/>
        <v>25889637.380291998</v>
      </c>
      <c r="O319" s="107"/>
      <c r="P319" s="108">
        <f>5122468.83+19392.86</f>
        <v>5141861.6900000004</v>
      </c>
      <c r="Q319" s="108"/>
      <c r="R319" s="108">
        <f>+AQ319+AR319</f>
        <v>1400822.9600000002</v>
      </c>
      <c r="S319" s="108">
        <f>+AS319</f>
        <v>9406440</v>
      </c>
      <c r="T319" s="108">
        <f>+'Приложение №2'!E319-'Приложение №1'!P319-'Приложение №1'!R319-'Приложение №1'!S319</f>
        <v>9940512.7302919962</v>
      </c>
      <c r="U319" s="107">
        <f t="shared" si="103"/>
        <v>10189.561311512909</v>
      </c>
      <c r="V319" s="107">
        <f t="shared" si="103"/>
        <v>10189.561311512909</v>
      </c>
      <c r="W319" s="135">
        <v>2023</v>
      </c>
      <c r="X319" s="28" t="e">
        <f>+#REF!-'[1]Приложение №1'!$P1473</f>
        <v>#REF!</v>
      </c>
      <c r="Z319" s="30">
        <f t="shared" si="101"/>
        <v>26878507.739999998</v>
      </c>
      <c r="AA319" s="26">
        <v>5890028.91603126</v>
      </c>
      <c r="AB319" s="26">
        <v>2098859.4476879397</v>
      </c>
      <c r="AC319" s="26">
        <v>2192841.1151652602</v>
      </c>
      <c r="AD319" s="26">
        <v>1372857.1864383598</v>
      </c>
      <c r="AE319" s="26">
        <v>839964.14065872005</v>
      </c>
      <c r="AF319" s="26"/>
      <c r="AG319" s="26">
        <v>226016.53592027997</v>
      </c>
      <c r="AH319" s="26">
        <v>0</v>
      </c>
      <c r="AI319" s="26">
        <v>10767869.049508201</v>
      </c>
      <c r="AJ319" s="26">
        <v>0</v>
      </c>
      <c r="AK319" s="26">
        <v>0</v>
      </c>
      <c r="AL319" s="26">
        <v>0</v>
      </c>
      <c r="AM319" s="26">
        <v>2709828.5368999997</v>
      </c>
      <c r="AN319" s="31">
        <v>268785.07740000001</v>
      </c>
      <c r="AO319" s="32">
        <v>511457.73428998003</v>
      </c>
      <c r="AP319" s="77">
        <f>+N319-'Приложение №2'!E319</f>
        <v>0</v>
      </c>
      <c r="AQ319" s="1">
        <f>1230267.29-95960.13</f>
        <v>1134307.1600000001</v>
      </c>
      <c r="AR319" s="1">
        <f t="shared" si="98"/>
        <v>266515.8</v>
      </c>
      <c r="AS319" s="1">
        <f t="shared" si="102"/>
        <v>9406440</v>
      </c>
      <c r="AT319" s="28">
        <f t="shared" si="90"/>
        <v>0</v>
      </c>
      <c r="AU319" s="28">
        <f>+P319-'[6]Приложение №1'!$P306</f>
        <v>19392.856666668318</v>
      </c>
      <c r="AV319" s="28">
        <f>+Q319-'[6]Приложение №1'!$Q306</f>
        <v>0</v>
      </c>
      <c r="AW319" s="28">
        <f>+R319-'[6]Приложение №1'!$R306</f>
        <v>0</v>
      </c>
      <c r="AX319" s="28">
        <f>+S319-'[6]Приложение №1'!$S306</f>
        <v>0</v>
      </c>
      <c r="AY319" s="28">
        <f>+T319-'[6]Приложение №1'!$T306</f>
        <v>235696.86362533271</v>
      </c>
    </row>
    <row r="320" spans="1:51" x14ac:dyDescent="0.25">
      <c r="A320" s="137">
        <f t="shared" si="100"/>
        <v>302</v>
      </c>
      <c r="B320" s="138">
        <f t="shared" si="100"/>
        <v>114</v>
      </c>
      <c r="C320" s="120" t="s">
        <v>51</v>
      </c>
      <c r="D320" s="120" t="s">
        <v>484</v>
      </c>
      <c r="E320" s="121">
        <v>1970</v>
      </c>
      <c r="F320" s="121">
        <v>2013</v>
      </c>
      <c r="G320" s="121" t="s">
        <v>43</v>
      </c>
      <c r="H320" s="121">
        <v>4</v>
      </c>
      <c r="I320" s="121">
        <v>4</v>
      </c>
      <c r="J320" s="107">
        <v>2981.5</v>
      </c>
      <c r="K320" s="107">
        <v>2738.8</v>
      </c>
      <c r="L320" s="107">
        <v>0</v>
      </c>
      <c r="M320" s="122">
        <v>153</v>
      </c>
      <c r="N320" s="133">
        <f t="shared" si="87"/>
        <v>35496577.607600003</v>
      </c>
      <c r="O320" s="107"/>
      <c r="P320" s="108">
        <v>8252506.3266666681</v>
      </c>
      <c r="Q320" s="108"/>
      <c r="R320" s="108">
        <f>+AQ320+AR320</f>
        <v>1403777.48</v>
      </c>
      <c r="S320" s="108">
        <f>+AS320</f>
        <v>9859680</v>
      </c>
      <c r="T320" s="108">
        <f>+'Приложение №2'!E320-'Приложение №1'!P320-'Приложение №1'!R320-'Приложение №1'!S320</f>
        <v>15980613.800933335</v>
      </c>
      <c r="U320" s="107">
        <f t="shared" si="103"/>
        <v>12960.631520227837</v>
      </c>
      <c r="V320" s="107">
        <f t="shared" si="103"/>
        <v>12960.631520227837</v>
      </c>
      <c r="W320" s="135">
        <v>2023</v>
      </c>
      <c r="X320" s="28" t="e">
        <f>+#REF!-'[1]Приложение №1'!$P1089</f>
        <v>#REF!</v>
      </c>
      <c r="Z320" s="30">
        <f t="shared" si="101"/>
        <v>37346887.229999997</v>
      </c>
      <c r="AA320" s="26">
        <v>6507682.1298052203</v>
      </c>
      <c r="AB320" s="26">
        <v>2318954.6795356199</v>
      </c>
      <c r="AC320" s="26">
        <v>2422791.6618380998</v>
      </c>
      <c r="AD320" s="26">
        <v>1516820.7665175602</v>
      </c>
      <c r="AE320" s="26">
        <v>928046.31598097994</v>
      </c>
      <c r="AF320" s="26"/>
      <c r="AG320" s="26">
        <v>249717.57989135996</v>
      </c>
      <c r="AH320" s="26">
        <v>0</v>
      </c>
      <c r="AI320" s="26">
        <v>11897033.101632001</v>
      </c>
      <c r="AJ320" s="26">
        <v>0</v>
      </c>
      <c r="AK320" s="26">
        <v>0</v>
      </c>
      <c r="AL320" s="26">
        <v>6662611.7855203198</v>
      </c>
      <c r="AM320" s="26">
        <v>3758971.1671000002</v>
      </c>
      <c r="AN320" s="31">
        <v>373468.87229999999</v>
      </c>
      <c r="AO320" s="32">
        <v>710789.16987883998</v>
      </c>
      <c r="AP320" s="77">
        <f>+N320-'Приложение №2'!E320</f>
        <v>0</v>
      </c>
      <c r="AQ320" s="1">
        <f>1220932.16-96512.28</f>
        <v>1124419.8799999999</v>
      </c>
      <c r="AR320" s="1">
        <f t="shared" si="98"/>
        <v>279357.59999999998</v>
      </c>
      <c r="AS320" s="1">
        <f t="shared" si="102"/>
        <v>9859680</v>
      </c>
      <c r="AT320" s="28">
        <f t="shared" si="90"/>
        <v>0</v>
      </c>
      <c r="AU320" s="28">
        <f>+P320-'[6]Приложение №1'!$P307</f>
        <v>0</v>
      </c>
      <c r="AV320" s="28">
        <f>+Q320-'[6]Приложение №1'!$Q307</f>
        <v>0</v>
      </c>
      <c r="AW320" s="28">
        <f>+R320-'[6]Приложение №1'!$R307</f>
        <v>0</v>
      </c>
      <c r="AX320" s="28">
        <f>+S320-'[6]Приложение №1'!$S307</f>
        <v>0</v>
      </c>
      <c r="AY320" s="28">
        <f>+T320-'[6]Приложение №1'!$T307</f>
        <v>0</v>
      </c>
    </row>
    <row r="321" spans="1:51" x14ac:dyDescent="0.25">
      <c r="A321" s="137">
        <f t="shared" si="100"/>
        <v>303</v>
      </c>
      <c r="B321" s="138">
        <f t="shared" si="100"/>
        <v>115</v>
      </c>
      <c r="C321" s="120" t="s">
        <v>51</v>
      </c>
      <c r="D321" s="120" t="s">
        <v>485</v>
      </c>
      <c r="E321" s="121">
        <v>1972</v>
      </c>
      <c r="F321" s="121">
        <v>2013</v>
      </c>
      <c r="G321" s="121" t="s">
        <v>83</v>
      </c>
      <c r="H321" s="121">
        <v>4</v>
      </c>
      <c r="I321" s="121">
        <v>4</v>
      </c>
      <c r="J321" s="107">
        <v>4795.5600000000004</v>
      </c>
      <c r="K321" s="107">
        <v>3559.4</v>
      </c>
      <c r="L321" s="107">
        <v>0</v>
      </c>
      <c r="M321" s="122">
        <v>159</v>
      </c>
      <c r="N321" s="133">
        <f t="shared" si="87"/>
        <v>1263115.48</v>
      </c>
      <c r="O321" s="107"/>
      <c r="P321" s="108"/>
      <c r="Q321" s="108"/>
      <c r="R321" s="108">
        <f>+'Приложение №2'!E321</f>
        <v>1263115.48</v>
      </c>
      <c r="S321" s="108">
        <f>+'Приложение №2'!E321-'Приложение №1'!R321</f>
        <v>0</v>
      </c>
      <c r="T321" s="108">
        <v>0</v>
      </c>
      <c r="U321" s="107">
        <f t="shared" si="103"/>
        <v>354.86752823509579</v>
      </c>
      <c r="V321" s="107">
        <f t="shared" si="103"/>
        <v>354.86752823509579</v>
      </c>
      <c r="W321" s="135">
        <v>2023</v>
      </c>
      <c r="X321" s="28">
        <f>+S321-'[1]Приложение №1'!$P688</f>
        <v>-1641039.36</v>
      </c>
      <c r="Z321" s="30">
        <f t="shared" si="101"/>
        <v>1454339.57</v>
      </c>
      <c r="AA321" s="26">
        <v>0</v>
      </c>
      <c r="AB321" s="26">
        <v>0</v>
      </c>
      <c r="AC321" s="26">
        <v>0</v>
      </c>
      <c r="AD321" s="26">
        <v>0</v>
      </c>
      <c r="AE321" s="26">
        <v>1256015.48</v>
      </c>
      <c r="AF321" s="26"/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6">
        <v>0</v>
      </c>
      <c r="AM321" s="26">
        <v>189224.09</v>
      </c>
      <c r="AN321" s="31">
        <v>2000</v>
      </c>
      <c r="AO321" s="32">
        <v>7100</v>
      </c>
      <c r="AP321" s="77">
        <f>+N321-'Приложение №2'!E321</f>
        <v>0</v>
      </c>
      <c r="AQ321" s="1">
        <v>1597911.73</v>
      </c>
      <c r="AR321" s="1">
        <f t="shared" si="98"/>
        <v>363058.8</v>
      </c>
      <c r="AS321" s="1">
        <f t="shared" si="102"/>
        <v>12813840</v>
      </c>
      <c r="AT321" s="28">
        <f t="shared" si="90"/>
        <v>-12813840</v>
      </c>
      <c r="AU321" s="28">
        <f>+P321-'[6]Приложение №1'!$P308</f>
        <v>0</v>
      </c>
      <c r="AV321" s="28">
        <f>+Q321-'[6]Приложение №1'!$Q308</f>
        <v>0</v>
      </c>
      <c r="AW321" s="28">
        <f>+R321-'[6]Приложение №1'!$R308</f>
        <v>0</v>
      </c>
      <c r="AX321" s="28">
        <f>+S321-'[6]Приложение №1'!$S308</f>
        <v>0</v>
      </c>
      <c r="AY321" s="28">
        <f>+T321-'[6]Приложение №1'!$T308</f>
        <v>0</v>
      </c>
    </row>
    <row r="322" spans="1:51" x14ac:dyDescent="0.25">
      <c r="A322" s="137">
        <f t="shared" si="100"/>
        <v>304</v>
      </c>
      <c r="B322" s="138">
        <f t="shared" si="100"/>
        <v>116</v>
      </c>
      <c r="C322" s="120" t="s">
        <v>51</v>
      </c>
      <c r="D322" s="120" t="s">
        <v>431</v>
      </c>
      <c r="E322" s="121">
        <v>1973</v>
      </c>
      <c r="F322" s="121">
        <v>2013</v>
      </c>
      <c r="G322" s="121" t="s">
        <v>83</v>
      </c>
      <c r="H322" s="121">
        <v>4</v>
      </c>
      <c r="I322" s="121">
        <v>4</v>
      </c>
      <c r="J322" s="107">
        <v>4678.76</v>
      </c>
      <c r="K322" s="107">
        <v>3451.8</v>
      </c>
      <c r="L322" s="107">
        <v>0</v>
      </c>
      <c r="M322" s="122">
        <v>168</v>
      </c>
      <c r="N322" s="133">
        <f t="shared" si="87"/>
        <v>1282264.52</v>
      </c>
      <c r="O322" s="107"/>
      <c r="P322" s="108"/>
      <c r="Q322" s="108"/>
      <c r="R322" s="108">
        <f t="shared" ref="R322:R327" si="104">+AQ322+AR322</f>
        <v>0</v>
      </c>
      <c r="S322" s="108">
        <f>+'Приложение №2'!E322-'Приложение №1'!R322</f>
        <v>1282264.52</v>
      </c>
      <c r="T322" s="108">
        <v>0</v>
      </c>
      <c r="U322" s="107">
        <f t="shared" si="103"/>
        <v>371.4770612434092</v>
      </c>
      <c r="V322" s="107">
        <f t="shared" si="103"/>
        <v>371.4770612434092</v>
      </c>
      <c r="W322" s="135">
        <v>2023</v>
      </c>
      <c r="X322" s="28">
        <f>+S322-'[1]Приложение №1'!$P689</f>
        <v>-304998.9600000002</v>
      </c>
      <c r="Z322" s="30">
        <f t="shared" si="101"/>
        <v>1494080.68</v>
      </c>
      <c r="AA322" s="26">
        <v>0</v>
      </c>
      <c r="AB322" s="26">
        <v>0</v>
      </c>
      <c r="AC322" s="26">
        <v>0</v>
      </c>
      <c r="AD322" s="26">
        <v>0</v>
      </c>
      <c r="AE322" s="26">
        <v>1274871.31</v>
      </c>
      <c r="AF322" s="26"/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6">
        <v>0</v>
      </c>
      <c r="AM322" s="26">
        <v>209316.16</v>
      </c>
      <c r="AN322" s="31">
        <v>2500</v>
      </c>
      <c r="AO322" s="32">
        <v>7393.21</v>
      </c>
      <c r="AP322" s="77">
        <f>+N322-'Приложение №2'!E322</f>
        <v>0</v>
      </c>
      <c r="AQ322" s="28">
        <f>1522745.97-R111</f>
        <v>-352083.59999999986</v>
      </c>
      <c r="AR322" s="1">
        <f t="shared" si="98"/>
        <v>352083.6</v>
      </c>
      <c r="AS322" s="1">
        <f>+(K322*10+L322*20)*12*30-S111</f>
        <v>12356573.029999999</v>
      </c>
      <c r="AT322" s="28">
        <f t="shared" si="90"/>
        <v>-11074308.51</v>
      </c>
      <c r="AU322" s="28">
        <f>+P322-'[6]Приложение №1'!$P309</f>
        <v>-10420005.460000001</v>
      </c>
      <c r="AV322" s="28">
        <f>+Q322-'[6]Приложение №1'!$Q309</f>
        <v>0</v>
      </c>
      <c r="AW322" s="28">
        <f>+R322-'[6]Приложение №1'!$R309</f>
        <v>-1874829.5699999998</v>
      </c>
      <c r="AX322" s="28">
        <f>+S322-'[6]Приложение №1'!$S309</f>
        <v>152660.11022069538</v>
      </c>
      <c r="AY322" s="28">
        <f>+T322-'[6]Приложение №1'!$T309</f>
        <v>0</v>
      </c>
    </row>
    <row r="323" spans="1:51" x14ac:dyDescent="0.25">
      <c r="A323" s="137">
        <f t="shared" si="100"/>
        <v>305</v>
      </c>
      <c r="B323" s="138">
        <f t="shared" si="100"/>
        <v>117</v>
      </c>
      <c r="C323" s="120" t="s">
        <v>51</v>
      </c>
      <c r="D323" s="120" t="s">
        <v>428</v>
      </c>
      <c r="E323" s="121">
        <v>1992</v>
      </c>
      <c r="F323" s="121">
        <v>2013</v>
      </c>
      <c r="G323" s="121" t="s">
        <v>83</v>
      </c>
      <c r="H323" s="121">
        <v>5</v>
      </c>
      <c r="I323" s="121">
        <v>4</v>
      </c>
      <c r="J323" s="107">
        <v>5274.7</v>
      </c>
      <c r="K323" s="107">
        <v>4397.95</v>
      </c>
      <c r="L323" s="107">
        <v>82.7</v>
      </c>
      <c r="M323" s="122">
        <v>351</v>
      </c>
      <c r="N323" s="133">
        <f t="shared" si="87"/>
        <v>11699117.62284708</v>
      </c>
      <c r="O323" s="107"/>
      <c r="P323" s="108">
        <v>3679232.53</v>
      </c>
      <c r="Q323" s="108"/>
      <c r="R323" s="108">
        <f t="shared" si="104"/>
        <v>94850.999999999825</v>
      </c>
      <c r="S323" s="108">
        <f>+AS323</f>
        <v>3032019.9171529151</v>
      </c>
      <c r="T323" s="108">
        <f>+'Приложение №2'!E323-'Приложение №1'!P323-'Приложение №1'!R323-'Приложение №1'!S323</f>
        <v>4893014.1756941658</v>
      </c>
      <c r="U323" s="108">
        <f t="shared" si="103"/>
        <v>2611.0313509975294</v>
      </c>
      <c r="V323" s="108">
        <f t="shared" si="103"/>
        <v>2611.0313509975294</v>
      </c>
      <c r="W323" s="135">
        <v>2023</v>
      </c>
      <c r="X323" s="28" t="e">
        <f>+#REF!-'[1]Приложение №1'!$P1297</f>
        <v>#REF!</v>
      </c>
      <c r="Z323" s="30">
        <f t="shared" si="101"/>
        <v>73758689.839999989</v>
      </c>
      <c r="AA323" s="26">
        <v>6929151.7355478602</v>
      </c>
      <c r="AB323" s="26">
        <v>4007317.8733992605</v>
      </c>
      <c r="AC323" s="26">
        <v>4236031.7089398</v>
      </c>
      <c r="AD323" s="26">
        <v>3230010.1851276006</v>
      </c>
      <c r="AE323" s="26">
        <v>0</v>
      </c>
      <c r="AF323" s="26"/>
      <c r="AG323" s="26">
        <v>344307.72949692002</v>
      </c>
      <c r="AH323" s="26">
        <v>0</v>
      </c>
      <c r="AI323" s="26">
        <v>12334945.070788199</v>
      </c>
      <c r="AJ323" s="26">
        <v>0</v>
      </c>
      <c r="AK323" s="26">
        <v>23948365.833656877</v>
      </c>
      <c r="AL323" s="26">
        <v>9418585.1320217997</v>
      </c>
      <c r="AM323" s="26">
        <v>7163024.8004000001</v>
      </c>
      <c r="AN323" s="31">
        <v>737586.89840000006</v>
      </c>
      <c r="AO323" s="32">
        <v>1409362.8722216799</v>
      </c>
      <c r="AP323" s="77">
        <f>+N323-'Приложение №2'!E323</f>
        <v>0</v>
      </c>
      <c r="AQ323" s="28">
        <f>1987606.27-R108</f>
        <v>-370610.70000000019</v>
      </c>
      <c r="AR323" s="1">
        <f t="shared" si="98"/>
        <v>465461.7</v>
      </c>
      <c r="AS323" s="1">
        <f>+(K323*10+L323*20)*12*30-S108</f>
        <v>3032019.9171529151</v>
      </c>
      <c r="AT323" s="28">
        <f t="shared" si="90"/>
        <v>0</v>
      </c>
      <c r="AU323" s="28">
        <f>+P323-'[6]Приложение №1'!$P310</f>
        <v>0</v>
      </c>
      <c r="AV323" s="28">
        <f>+Q323-'[6]Приложение №1'!$Q310</f>
        <v>0</v>
      </c>
      <c r="AW323" s="28">
        <f>+R323-'[6]Приложение №1'!$R310</f>
        <v>94850.999999999825</v>
      </c>
      <c r="AX323" s="28">
        <f>+S323-'[6]Приложение №1'!$S310</f>
        <v>539509.78715291526</v>
      </c>
      <c r="AY323" s="28">
        <f>+T323-'[6]Приложение №1'!$T310</f>
        <v>3350078.5228470848</v>
      </c>
    </row>
    <row r="324" spans="1:51" x14ac:dyDescent="0.25">
      <c r="A324" s="137">
        <f t="shared" si="100"/>
        <v>306</v>
      </c>
      <c r="B324" s="138">
        <f t="shared" si="100"/>
        <v>118</v>
      </c>
      <c r="C324" s="120" t="s">
        <v>51</v>
      </c>
      <c r="D324" s="120" t="s">
        <v>429</v>
      </c>
      <c r="E324" s="121">
        <v>1987</v>
      </c>
      <c r="F324" s="121">
        <v>1987</v>
      </c>
      <c r="G324" s="121" t="s">
        <v>43</v>
      </c>
      <c r="H324" s="121">
        <v>5</v>
      </c>
      <c r="I324" s="121">
        <v>3</v>
      </c>
      <c r="J324" s="107">
        <v>5170.7</v>
      </c>
      <c r="K324" s="107">
        <v>2871.7</v>
      </c>
      <c r="L324" s="107">
        <v>2299</v>
      </c>
      <c r="M324" s="122">
        <v>334</v>
      </c>
      <c r="N324" s="133">
        <f t="shared" si="87"/>
        <v>10994869.534908922</v>
      </c>
      <c r="O324" s="107"/>
      <c r="P324" s="108">
        <v>2477837.44</v>
      </c>
      <c r="Q324" s="108"/>
      <c r="R324" s="108">
        <f t="shared" si="104"/>
        <v>1137386.69</v>
      </c>
      <c r="S324" s="108">
        <v>4937533.0449089203</v>
      </c>
      <c r="T324" s="107">
        <f>+'Приложение №2'!E324-'Приложение №1'!P324-'Приложение №1'!Q324-'Приложение №1'!R324-'Приложение №1'!S324</f>
        <v>2442112.3600000013</v>
      </c>
      <c r="U324" s="108">
        <f t="shared" si="103"/>
        <v>2126.379317096123</v>
      </c>
      <c r="V324" s="108">
        <f t="shared" si="103"/>
        <v>2126.379317096123</v>
      </c>
      <c r="W324" s="135">
        <v>2023</v>
      </c>
      <c r="X324" s="28" t="e">
        <f>+#REF!-'[1]Приложение №1'!$P1295</f>
        <v>#REF!</v>
      </c>
      <c r="Z324" s="30">
        <f t="shared" si="101"/>
        <v>44376055.650000006</v>
      </c>
      <c r="AA324" s="26">
        <v>6705846.8643129608</v>
      </c>
      <c r="AB324" s="26">
        <v>2389568.92118868</v>
      </c>
      <c r="AC324" s="26">
        <v>2496567.8323118398</v>
      </c>
      <c r="AD324" s="26">
        <v>1563009.3139332</v>
      </c>
      <c r="AE324" s="26">
        <v>0</v>
      </c>
      <c r="AF324" s="26"/>
      <c r="AG324" s="26">
        <v>257321.70331307995</v>
      </c>
      <c r="AH324" s="26">
        <v>0</v>
      </c>
      <c r="AI324" s="26">
        <v>12259308.387853799</v>
      </c>
      <c r="AJ324" s="26">
        <v>0</v>
      </c>
      <c r="AK324" s="26">
        <v>6365089.67499342</v>
      </c>
      <c r="AL324" s="26">
        <v>6865494.2663706001</v>
      </c>
      <c r="AM324" s="26">
        <v>4179375.6532000005</v>
      </c>
      <c r="AN324" s="31">
        <v>443760.55650000001</v>
      </c>
      <c r="AO324" s="32">
        <v>850712.47602241999</v>
      </c>
      <c r="AP324" s="77">
        <f>+N324-'Приложение №2'!E324</f>
        <v>0</v>
      </c>
      <c r="AQ324" s="28">
        <f>2578731.31-R109</f>
        <v>375477.29000000004</v>
      </c>
      <c r="AR324" s="1">
        <f t="shared" si="98"/>
        <v>761909.4</v>
      </c>
      <c r="AS324" s="1">
        <f>+(K324*10+L324*20)*12*30-S109</f>
        <v>17973380.042891078</v>
      </c>
      <c r="AT324" s="28">
        <f t="shared" si="90"/>
        <v>-13035846.997982157</v>
      </c>
      <c r="AU324" s="28">
        <f>+P324-'[6]Приложение №1'!$P311</f>
        <v>0</v>
      </c>
      <c r="AV324" s="28">
        <f>+Q324-'[6]Приложение №1'!$Q311</f>
        <v>0</v>
      </c>
      <c r="AW324" s="28">
        <f>+R324-'[6]Приложение №1'!$R311</f>
        <v>144404.28999999992</v>
      </c>
      <c r="AX324" s="28">
        <f>+S324-'[6]Приложение №1'!$S311</f>
        <v>0</v>
      </c>
      <c r="AY324" s="28">
        <f>+T324-'[6]Приложение №1'!$T311</f>
        <v>2464176.8868512008</v>
      </c>
    </row>
    <row r="325" spans="1:51" x14ac:dyDescent="0.25">
      <c r="A325" s="137">
        <f t="shared" si="100"/>
        <v>307</v>
      </c>
      <c r="B325" s="138">
        <f t="shared" si="100"/>
        <v>119</v>
      </c>
      <c r="C325" s="120" t="s">
        <v>51</v>
      </c>
      <c r="D325" s="120" t="s">
        <v>434</v>
      </c>
      <c r="E325" s="121">
        <v>1980</v>
      </c>
      <c r="F325" s="121">
        <v>2008</v>
      </c>
      <c r="G325" s="121" t="s">
        <v>83</v>
      </c>
      <c r="H325" s="121">
        <v>5</v>
      </c>
      <c r="I325" s="121">
        <v>6</v>
      </c>
      <c r="J325" s="107">
        <v>7149.4</v>
      </c>
      <c r="K325" s="107">
        <v>6325.2</v>
      </c>
      <c r="L325" s="107">
        <v>0</v>
      </c>
      <c r="M325" s="122">
        <v>293</v>
      </c>
      <c r="N325" s="133">
        <f t="shared" si="87"/>
        <v>32062275.124032822</v>
      </c>
      <c r="O325" s="107"/>
      <c r="P325" s="108">
        <f>9266556.79402467+985967.49</f>
        <v>10252524.284024671</v>
      </c>
      <c r="Q325" s="108"/>
      <c r="R325" s="108">
        <f t="shared" si="104"/>
        <v>2028430.1400000001</v>
      </c>
      <c r="S325" s="108">
        <v>1791883.6800000002</v>
      </c>
      <c r="T325" s="108">
        <f>+'Приложение №2'!E325-'Приложение №1'!P325-'Приложение №1'!R325-'Приложение №1'!S325</f>
        <v>17989437.02000815</v>
      </c>
      <c r="U325" s="107">
        <f t="shared" si="103"/>
        <v>5068.9741231949702</v>
      </c>
      <c r="V325" s="107">
        <f t="shared" si="103"/>
        <v>5068.9741231949702</v>
      </c>
      <c r="W325" s="135">
        <v>2023</v>
      </c>
      <c r="X325" s="28" t="e">
        <f>+#REF!-'[1]Приложение №1'!$P1337</f>
        <v>#REF!</v>
      </c>
      <c r="Z325" s="30">
        <f t="shared" si="101"/>
        <v>114548451.67</v>
      </c>
      <c r="AA325" s="26">
        <v>10489330.258041179</v>
      </c>
      <c r="AB325" s="26">
        <v>6066266.4462859211</v>
      </c>
      <c r="AC325" s="26">
        <v>6412492.7922270596</v>
      </c>
      <c r="AD325" s="26">
        <v>4889580.2685996005</v>
      </c>
      <c r="AE325" s="26">
        <v>1953287.2251610199</v>
      </c>
      <c r="AF325" s="26"/>
      <c r="AG325" s="26">
        <v>521212.05792599992</v>
      </c>
      <c r="AH325" s="26">
        <v>0</v>
      </c>
      <c r="AI325" s="26">
        <v>18672604.894377001</v>
      </c>
      <c r="AJ325" s="26">
        <v>0</v>
      </c>
      <c r="AK325" s="26">
        <v>36252968.326471262</v>
      </c>
      <c r="AL325" s="26">
        <v>14257827.475101</v>
      </c>
      <c r="AM325" s="26">
        <v>11711193.4519</v>
      </c>
      <c r="AN325" s="31">
        <v>1145484.5167</v>
      </c>
      <c r="AO325" s="32">
        <v>2176203.9572099601</v>
      </c>
      <c r="AP325" s="77">
        <f>+N325-'Приложение №2'!E325</f>
        <v>0</v>
      </c>
      <c r="AQ325" s="28">
        <f>3044323.81-R114</f>
        <v>1383259.74</v>
      </c>
      <c r="AR325" s="1">
        <f t="shared" ref="AR325:AR337" si="105">+(K325*10+L325*20)*12*0.85</f>
        <v>645170.4</v>
      </c>
      <c r="AS325" s="1">
        <f>+(K325*10+L325*20)*12*30-S114</f>
        <v>5962476.743244838</v>
      </c>
      <c r="AT325" s="28">
        <f t="shared" si="90"/>
        <v>-4170593.0632448378</v>
      </c>
      <c r="AU325" s="28">
        <f>+P325-'[6]Приложение №1'!$P313</f>
        <v>985967.49000000395</v>
      </c>
      <c r="AV325" s="28">
        <f>+Q325-'[6]Приложение №1'!$Q313</f>
        <v>0</v>
      </c>
      <c r="AW325" s="28">
        <f>+R325-'[6]Приложение №1'!$R313</f>
        <v>1656673.65</v>
      </c>
      <c r="AX325" s="28">
        <f>+S325-'[6]Приложение №1'!$S313</f>
        <v>1791883.6800000002</v>
      </c>
      <c r="AY325" s="28">
        <f>+T325-'[6]Приложение №1'!$T313</f>
        <v>9945653.6899999976</v>
      </c>
    </row>
    <row r="326" spans="1:51" s="34" customFormat="1" x14ac:dyDescent="0.25">
      <c r="A326" s="137">
        <f t="shared" si="100"/>
        <v>308</v>
      </c>
      <c r="B326" s="138">
        <f t="shared" si="100"/>
        <v>120</v>
      </c>
      <c r="C326" s="120" t="s">
        <v>51</v>
      </c>
      <c r="D326" s="120" t="s">
        <v>486</v>
      </c>
      <c r="E326" s="121" t="s">
        <v>110</v>
      </c>
      <c r="F326" s="121"/>
      <c r="G326" s="121" t="s">
        <v>43</v>
      </c>
      <c r="H326" s="121" t="s">
        <v>104</v>
      </c>
      <c r="I326" s="121" t="s">
        <v>96</v>
      </c>
      <c r="J326" s="107">
        <v>7651.5</v>
      </c>
      <c r="K326" s="107">
        <v>6138</v>
      </c>
      <c r="L326" s="107">
        <v>119</v>
      </c>
      <c r="M326" s="122">
        <v>293</v>
      </c>
      <c r="N326" s="133">
        <f t="shared" si="87"/>
        <v>54474244.048956804</v>
      </c>
      <c r="O326" s="107">
        <v>0</v>
      </c>
      <c r="P326" s="108">
        <v>9563508.5829855986</v>
      </c>
      <c r="Q326" s="108">
        <v>0</v>
      </c>
      <c r="R326" s="108">
        <f t="shared" si="104"/>
        <v>3376163.3</v>
      </c>
      <c r="S326" s="108">
        <f>+AS326</f>
        <v>22953600</v>
      </c>
      <c r="T326" s="108">
        <f>+'Приложение №2'!E326-'Приложение №1'!P326-'Приложение №1'!R326-'Приложение №1'!S326</f>
        <v>18580972.165971205</v>
      </c>
      <c r="U326" s="107">
        <f t="shared" si="103"/>
        <v>8706.1281842667104</v>
      </c>
      <c r="V326" s="107">
        <f t="shared" si="103"/>
        <v>8706.1281842667104</v>
      </c>
      <c r="W326" s="135">
        <v>2023</v>
      </c>
      <c r="X326" s="34">
        <v>2205585.94</v>
      </c>
      <c r="Y326" s="34">
        <f>+(K326*9.1+L326*18.19)*12</f>
        <v>696244.91999999993</v>
      </c>
      <c r="AA326" s="35">
        <f>+N326-'[5]Приложение № 2'!E299</f>
        <v>45984699.238956802</v>
      </c>
      <c r="AD326" s="35">
        <f>+N326-'[5]Приложение № 2'!E299</f>
        <v>45984699.238956802</v>
      </c>
      <c r="AP326" s="77">
        <f>+N326-'Приложение №2'!E326</f>
        <v>0</v>
      </c>
      <c r="AQ326" s="34">
        <v>2725811.3</v>
      </c>
      <c r="AR326" s="1">
        <f t="shared" si="105"/>
        <v>650352</v>
      </c>
      <c r="AS326" s="1">
        <f t="shared" ref="AS326:AS331" si="106">+(K326*10+L326*20)*12*30</f>
        <v>22953600</v>
      </c>
      <c r="AT326" s="28">
        <f t="shared" si="90"/>
        <v>0</v>
      </c>
      <c r="AU326" s="28">
        <f>+P326-'[6]Приложение №1'!$P314</f>
        <v>0</v>
      </c>
      <c r="AV326" s="28">
        <f>+Q326-'[6]Приложение №1'!$Q314</f>
        <v>0</v>
      </c>
      <c r="AW326" s="28">
        <f>+R326-'[6]Приложение №1'!$R314</f>
        <v>0</v>
      </c>
      <c r="AX326" s="28">
        <f>+S326-'[6]Приложение №1'!$S314</f>
        <v>0</v>
      </c>
      <c r="AY326" s="28">
        <f>+T326-'[6]Приложение №1'!$T314</f>
        <v>0</v>
      </c>
    </row>
    <row r="327" spans="1:51" x14ac:dyDescent="0.25">
      <c r="A327" s="137">
        <f t="shared" si="100"/>
        <v>309</v>
      </c>
      <c r="B327" s="138">
        <f t="shared" si="100"/>
        <v>121</v>
      </c>
      <c r="C327" s="120" t="s">
        <v>51</v>
      </c>
      <c r="D327" s="120" t="s">
        <v>437</v>
      </c>
      <c r="E327" s="121">
        <v>1975</v>
      </c>
      <c r="F327" s="121">
        <v>2013</v>
      </c>
      <c r="G327" s="121" t="s">
        <v>43</v>
      </c>
      <c r="H327" s="121">
        <v>4</v>
      </c>
      <c r="I327" s="121">
        <v>4</v>
      </c>
      <c r="J327" s="107">
        <v>2912.6</v>
      </c>
      <c r="K327" s="107">
        <v>2004.3</v>
      </c>
      <c r="L327" s="107">
        <v>902.2</v>
      </c>
      <c r="M327" s="122">
        <v>104</v>
      </c>
      <c r="N327" s="133">
        <f t="shared" si="87"/>
        <v>21780503.481325135</v>
      </c>
      <c r="O327" s="107"/>
      <c r="P327" s="108">
        <v>3770471.1300000004</v>
      </c>
      <c r="Q327" s="108"/>
      <c r="R327" s="108">
        <f t="shared" si="104"/>
        <v>2325190.8199999998</v>
      </c>
      <c r="S327" s="108">
        <f>+AS327</f>
        <v>13711320</v>
      </c>
      <c r="T327" s="108">
        <f>+'Приложение №2'!E327-'Приложение №1'!P327-'Приложение №1'!R327-'Приложение №1'!S327</f>
        <v>1973521.5313251354</v>
      </c>
      <c r="U327" s="107">
        <f t="shared" si="103"/>
        <v>7493.7221680113998</v>
      </c>
      <c r="V327" s="107">
        <f t="shared" si="103"/>
        <v>7493.7221680113998</v>
      </c>
      <c r="W327" s="135">
        <v>2023</v>
      </c>
      <c r="X327" s="28" t="e">
        <f>+#REF!-'[1]Приложение №1'!$P1015</f>
        <v>#REF!</v>
      </c>
      <c r="Z327" s="30">
        <f t="shared" ref="Z327:Z333" si="107">SUM(AA327:AO327)</f>
        <v>33480583.039703999</v>
      </c>
      <c r="AA327" s="26">
        <v>4910426.619134401</v>
      </c>
      <c r="AB327" s="26">
        <v>1749786.8763320402</v>
      </c>
      <c r="AC327" s="26">
        <v>1828137.9504292798</v>
      </c>
      <c r="AD327" s="26">
        <v>1144529.9445770402</v>
      </c>
      <c r="AE327" s="26">
        <v>818458.35</v>
      </c>
      <c r="AF327" s="26"/>
      <c r="AG327" s="26">
        <v>188426.51279339998</v>
      </c>
      <c r="AH327" s="26">
        <v>0</v>
      </c>
      <c r="AI327" s="26">
        <v>8977006.9994345997</v>
      </c>
      <c r="AJ327" s="26">
        <v>0</v>
      </c>
      <c r="AK327" s="26">
        <v>4660903.59852558</v>
      </c>
      <c r="AL327" s="26">
        <v>5027330.1025222801</v>
      </c>
      <c r="AM327" s="26">
        <v>3221989.0267999996</v>
      </c>
      <c r="AN327" s="31">
        <v>327170.53649999999</v>
      </c>
      <c r="AO327" s="32">
        <v>626416.52265538019</v>
      </c>
      <c r="AP327" s="77">
        <f>+N327-'Приложение №2'!E327</f>
        <v>0</v>
      </c>
      <c r="AQ327" s="1">
        <v>1936703.42</v>
      </c>
      <c r="AR327" s="1">
        <f t="shared" si="105"/>
        <v>388487.39999999997</v>
      </c>
      <c r="AS327" s="1">
        <f t="shared" si="106"/>
        <v>13711320</v>
      </c>
      <c r="AT327" s="28">
        <f t="shared" si="90"/>
        <v>0</v>
      </c>
      <c r="AU327" s="28">
        <f>+P327-'[6]Приложение №1'!$P315</f>
        <v>3770471.1300000004</v>
      </c>
      <c r="AV327" s="28">
        <f>+Q327-'[6]Приложение №1'!$Q315</f>
        <v>0</v>
      </c>
      <c r="AW327" s="28">
        <f>+R327-'[6]Приложение №1'!$R315</f>
        <v>0</v>
      </c>
      <c r="AX327" s="28">
        <f>+S327-'[6]Приложение №1'!$S315</f>
        <v>1360554.6276655439</v>
      </c>
      <c r="AY327" s="28">
        <f>+T327-'[6]Приложение №1'!$T315</f>
        <v>1973521.5313251349</v>
      </c>
    </row>
    <row r="328" spans="1:51" x14ac:dyDescent="0.25">
      <c r="A328" s="137">
        <f t="shared" si="100"/>
        <v>310</v>
      </c>
      <c r="B328" s="138">
        <f t="shared" si="100"/>
        <v>122</v>
      </c>
      <c r="C328" s="120" t="s">
        <v>51</v>
      </c>
      <c r="D328" s="120" t="s">
        <v>235</v>
      </c>
      <c r="E328" s="121">
        <v>1968</v>
      </c>
      <c r="F328" s="121">
        <v>2013</v>
      </c>
      <c r="G328" s="121" t="s">
        <v>43</v>
      </c>
      <c r="H328" s="121">
        <v>4</v>
      </c>
      <c r="I328" s="121">
        <v>2</v>
      </c>
      <c r="J328" s="107">
        <v>1340.1</v>
      </c>
      <c r="K328" s="107">
        <v>1250.0999999999999</v>
      </c>
      <c r="L328" s="107">
        <v>0</v>
      </c>
      <c r="M328" s="122">
        <v>47</v>
      </c>
      <c r="N328" s="133">
        <f t="shared" si="87"/>
        <v>494347.02441200003</v>
      </c>
      <c r="O328" s="107"/>
      <c r="P328" s="108"/>
      <c r="Q328" s="108"/>
      <c r="R328" s="108">
        <f>+'Приложение №2'!E328</f>
        <v>494347.02441200003</v>
      </c>
      <c r="S328" s="108">
        <f>+'Приложение №2'!E328-'Приложение №1'!R328</f>
        <v>0</v>
      </c>
      <c r="T328" s="108">
        <v>0</v>
      </c>
      <c r="U328" s="107">
        <f t="shared" si="103"/>
        <v>395.44598385089199</v>
      </c>
      <c r="V328" s="107">
        <f t="shared" si="103"/>
        <v>395.44598385089199</v>
      </c>
      <c r="W328" s="135">
        <v>2023</v>
      </c>
      <c r="X328" s="28" t="e">
        <f>+#REF!-'[1]Приложение №1'!$P696</f>
        <v>#REF!</v>
      </c>
      <c r="Z328" s="30">
        <f t="shared" si="107"/>
        <v>7345879.3544120006</v>
      </c>
      <c r="AA328" s="26">
        <v>0</v>
      </c>
      <c r="AB328" s="26">
        <v>0</v>
      </c>
      <c r="AC328" s="26">
        <v>0</v>
      </c>
      <c r="AD328" s="26">
        <v>0</v>
      </c>
      <c r="AE328" s="26">
        <v>491444.9</v>
      </c>
      <c r="AF328" s="26"/>
      <c r="AG328" s="26">
        <v>0</v>
      </c>
      <c r="AH328" s="26">
        <v>0</v>
      </c>
      <c r="AI328" s="26">
        <v>0</v>
      </c>
      <c r="AJ328" s="26">
        <v>0</v>
      </c>
      <c r="AK328" s="26">
        <v>2817572.53491042</v>
      </c>
      <c r="AL328" s="26">
        <v>3039081.7867057198</v>
      </c>
      <c r="AM328" s="26">
        <v>797894.04099999997</v>
      </c>
      <c r="AN328" s="31">
        <v>68910.799100000004</v>
      </c>
      <c r="AO328" s="32">
        <v>130975.29269586</v>
      </c>
      <c r="AP328" s="77">
        <f>+N328-'Приложение №2'!E328</f>
        <v>0</v>
      </c>
      <c r="AQ328" s="1">
        <v>547627.87</v>
      </c>
      <c r="AR328" s="1">
        <f t="shared" si="105"/>
        <v>127510.2</v>
      </c>
      <c r="AS328" s="1">
        <f t="shared" si="106"/>
        <v>4500360</v>
      </c>
      <c r="AT328" s="28">
        <f t="shared" si="90"/>
        <v>-4500360</v>
      </c>
      <c r="AU328" s="28">
        <f>+P328-'[6]Приложение №1'!$P316</f>
        <v>0</v>
      </c>
      <c r="AV328" s="28">
        <f>+Q328-'[6]Приложение №1'!$Q316</f>
        <v>0</v>
      </c>
      <c r="AW328" s="28">
        <f>+R328-'[6]Приложение №1'!$R316</f>
        <v>0</v>
      </c>
      <c r="AX328" s="28">
        <f>+S328-'[6]Приложение №1'!$S316</f>
        <v>0</v>
      </c>
      <c r="AY328" s="28">
        <f>+T328-'[6]Приложение №1'!$T316</f>
        <v>0</v>
      </c>
    </row>
    <row r="329" spans="1:51" x14ac:dyDescent="0.25">
      <c r="A329" s="137">
        <f t="shared" ref="A329:B329" si="108">+A328+1</f>
        <v>311</v>
      </c>
      <c r="B329" s="138">
        <f t="shared" si="108"/>
        <v>123</v>
      </c>
      <c r="C329" s="120" t="s">
        <v>51</v>
      </c>
      <c r="D329" s="120" t="s">
        <v>438</v>
      </c>
      <c r="E329" s="121">
        <v>1993</v>
      </c>
      <c r="F329" s="121">
        <v>2013</v>
      </c>
      <c r="G329" s="121" t="s">
        <v>43</v>
      </c>
      <c r="H329" s="121">
        <v>5</v>
      </c>
      <c r="I329" s="121">
        <v>2</v>
      </c>
      <c r="J329" s="107">
        <v>2382.6999999999998</v>
      </c>
      <c r="K329" s="107">
        <v>2177.75</v>
      </c>
      <c r="L329" s="107">
        <v>0</v>
      </c>
      <c r="M329" s="122">
        <v>103</v>
      </c>
      <c r="N329" s="133">
        <f t="shared" si="87"/>
        <v>3954803.0756240012</v>
      </c>
      <c r="O329" s="107"/>
      <c r="P329" s="108">
        <f>+'Приложение №2'!E329-'Приложение №1'!R329</f>
        <v>2826319.835624001</v>
      </c>
      <c r="Q329" s="108"/>
      <c r="R329" s="108">
        <f>+AQ329+AR329-137216.27</f>
        <v>1128483.24</v>
      </c>
      <c r="S329" s="108">
        <f>+'Приложение №2'!E329-'Приложение №1'!P329-'Приложение №1'!Q329-'Приложение №1'!R329</f>
        <v>0</v>
      </c>
      <c r="T329" s="108">
        <f>+'Приложение №2'!E329-'Приложение №1'!P329-'Приложение №1'!Q329-'Приложение №1'!R329-'Приложение №1'!S329</f>
        <v>-2.3283064365386963E-10</v>
      </c>
      <c r="U329" s="107">
        <f t="shared" si="103"/>
        <v>1816.0041674315239</v>
      </c>
      <c r="V329" s="107">
        <f t="shared" si="103"/>
        <v>1816.0041674315239</v>
      </c>
      <c r="W329" s="135">
        <v>2023</v>
      </c>
      <c r="X329" s="28" t="e">
        <f>+#REF!-'[1]Приложение №1'!$P1288</f>
        <v>#REF!</v>
      </c>
      <c r="Z329" s="30">
        <f t="shared" si="107"/>
        <v>22932892.859999996</v>
      </c>
      <c r="AA329" s="26">
        <v>5269271.9163684594</v>
      </c>
      <c r="AB329" s="26">
        <v>1877658.2087747399</v>
      </c>
      <c r="AC329" s="26">
        <v>1961735.0389824603</v>
      </c>
      <c r="AD329" s="26">
        <v>1228170.1704375602</v>
      </c>
      <c r="AE329" s="26"/>
      <c r="AF329" s="26"/>
      <c r="AG329" s="26">
        <v>202196.39026187998</v>
      </c>
      <c r="AH329" s="26">
        <v>0</v>
      </c>
      <c r="AI329" s="26">
        <v>9633030.8035121989</v>
      </c>
      <c r="AJ329" s="26">
        <v>0</v>
      </c>
      <c r="AK329" s="26">
        <v>0</v>
      </c>
      <c r="AL329" s="26">
        <v>0</v>
      </c>
      <c r="AM329" s="26">
        <v>2090379.2508999999</v>
      </c>
      <c r="AN329" s="31">
        <v>229328.92859999998</v>
      </c>
      <c r="AO329" s="32">
        <v>441122.15216270008</v>
      </c>
      <c r="AP329" s="77">
        <f>+N329-'Приложение №2'!E329</f>
        <v>0</v>
      </c>
      <c r="AQ329" s="1">
        <v>1043569.01</v>
      </c>
      <c r="AR329" s="1">
        <f t="shared" si="105"/>
        <v>222130.5</v>
      </c>
      <c r="AS329" s="1">
        <f t="shared" si="106"/>
        <v>7839900</v>
      </c>
      <c r="AT329" s="28">
        <f t="shared" si="90"/>
        <v>-7839900</v>
      </c>
      <c r="AU329" s="28">
        <f>+P329-'[6]Приложение №1'!$P317</f>
        <v>0</v>
      </c>
      <c r="AV329" s="28">
        <f>+Q329-'[6]Приложение №1'!$Q317</f>
        <v>0</v>
      </c>
      <c r="AW329" s="28">
        <f>+R329-'[6]Приложение №1'!$R317</f>
        <v>0</v>
      </c>
      <c r="AX329" s="28">
        <f>+S329-'[6]Приложение №1'!$S317</f>
        <v>0</v>
      </c>
      <c r="AY329" s="28">
        <f>+T329-'[6]Приложение №1'!$T317</f>
        <v>0</v>
      </c>
    </row>
    <row r="330" spans="1:51" x14ac:dyDescent="0.25">
      <c r="A330" s="137">
        <f t="shared" ref="A330:B330" si="109">+A329+1</f>
        <v>312</v>
      </c>
      <c r="B330" s="138">
        <f t="shared" si="109"/>
        <v>124</v>
      </c>
      <c r="C330" s="120" t="s">
        <v>51</v>
      </c>
      <c r="D330" s="120" t="s">
        <v>487</v>
      </c>
      <c r="E330" s="121">
        <v>1984</v>
      </c>
      <c r="F330" s="121">
        <v>1984</v>
      </c>
      <c r="G330" s="121" t="s">
        <v>83</v>
      </c>
      <c r="H330" s="121">
        <v>5</v>
      </c>
      <c r="I330" s="121">
        <v>6</v>
      </c>
      <c r="J330" s="107">
        <v>7096.75</v>
      </c>
      <c r="K330" s="107">
        <v>6228.7</v>
      </c>
      <c r="L330" s="107">
        <v>0</v>
      </c>
      <c r="M330" s="122">
        <v>298</v>
      </c>
      <c r="N330" s="133">
        <f t="shared" si="87"/>
        <v>16015618.41</v>
      </c>
      <c r="O330" s="107"/>
      <c r="P330" s="108"/>
      <c r="Q330" s="108"/>
      <c r="R330" s="108">
        <f>+AQ330+AR330</f>
        <v>3618454.07</v>
      </c>
      <c r="S330" s="108">
        <f>+'Приложение №2'!E330-'Приложение №1'!R330</f>
        <v>12397164.34</v>
      </c>
      <c r="T330" s="108">
        <v>4.6566128730773926E-10</v>
      </c>
      <c r="U330" s="107">
        <f t="shared" si="103"/>
        <v>2571.2618058342832</v>
      </c>
      <c r="V330" s="107">
        <f t="shared" si="103"/>
        <v>2571.2618058342832</v>
      </c>
      <c r="W330" s="135">
        <v>2023</v>
      </c>
      <c r="X330" s="28" t="e">
        <f>+#REF!-'[1]Приложение №1'!$P1099</f>
        <v>#REF!</v>
      </c>
      <c r="Z330" s="30">
        <f t="shared" si="107"/>
        <v>16247767.73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/>
      <c r="AG330" s="26">
        <v>0</v>
      </c>
      <c r="AH330" s="26">
        <v>0</v>
      </c>
      <c r="AI330" s="26">
        <v>0</v>
      </c>
      <c r="AJ330" s="26">
        <v>0</v>
      </c>
      <c r="AK330" s="26">
        <v>0</v>
      </c>
      <c r="AL330" s="26">
        <v>14151058.29551442</v>
      </c>
      <c r="AM330" s="26">
        <v>1624776.773</v>
      </c>
      <c r="AN330" s="31">
        <v>162477.67730000001</v>
      </c>
      <c r="AO330" s="32">
        <v>309454.98418557999</v>
      </c>
      <c r="AP330" s="77">
        <f>+N330-'Приложение №2'!E330</f>
        <v>0</v>
      </c>
      <c r="AQ330" s="1">
        <v>2983126.67</v>
      </c>
      <c r="AR330" s="1">
        <f t="shared" si="105"/>
        <v>635327.4</v>
      </c>
      <c r="AS330" s="1">
        <f t="shared" si="106"/>
        <v>22423320</v>
      </c>
      <c r="AT330" s="28">
        <f t="shared" si="90"/>
        <v>-10026155.66</v>
      </c>
      <c r="AU330" s="28">
        <f>+P330-'[6]Приложение №1'!$P318</f>
        <v>-5099328.6800000006</v>
      </c>
      <c r="AV330" s="28">
        <f>+Q330-'[6]Приложение №1'!$Q318</f>
        <v>0</v>
      </c>
      <c r="AW330" s="28">
        <f>+R330-'[6]Приложение №1'!$R318</f>
        <v>0</v>
      </c>
      <c r="AX330" s="28">
        <f>+S330-'[6]Приложение №1'!$S318</f>
        <v>0</v>
      </c>
      <c r="AY330" s="28">
        <f>+T330-'[6]Приложение №1'!$T318</f>
        <v>0</v>
      </c>
    </row>
    <row r="331" spans="1:51" x14ac:dyDescent="0.25">
      <c r="A331" s="137">
        <f t="shared" ref="A331:B331" si="110">+A330+1</f>
        <v>313</v>
      </c>
      <c r="B331" s="138">
        <f t="shared" si="110"/>
        <v>125</v>
      </c>
      <c r="C331" s="120" t="s">
        <v>51</v>
      </c>
      <c r="D331" s="120" t="s">
        <v>488</v>
      </c>
      <c r="E331" s="121">
        <v>1973</v>
      </c>
      <c r="F331" s="121">
        <v>2011</v>
      </c>
      <c r="G331" s="121" t="s">
        <v>43</v>
      </c>
      <c r="H331" s="121">
        <v>5</v>
      </c>
      <c r="I331" s="121">
        <v>4</v>
      </c>
      <c r="J331" s="107">
        <v>3343.7</v>
      </c>
      <c r="K331" s="107">
        <v>3061.9</v>
      </c>
      <c r="L331" s="107">
        <v>0</v>
      </c>
      <c r="M331" s="122">
        <v>160</v>
      </c>
      <c r="N331" s="133">
        <f t="shared" si="87"/>
        <v>7682194.3148301998</v>
      </c>
      <c r="O331" s="107"/>
      <c r="P331" s="108">
        <v>614563.23999999987</v>
      </c>
      <c r="Q331" s="108"/>
      <c r="R331" s="108">
        <f>+AQ331+AR331</f>
        <v>1696801.81</v>
      </c>
      <c r="S331" s="108">
        <f>+'Приложение №2'!E331-'Приложение №1'!P331-'Приложение №1'!Q331-'Приложение №1'!R331</f>
        <v>5370829.2648302</v>
      </c>
      <c r="T331" s="108">
        <f>+'Приложение №2'!E331-'Приложение №1'!P331-'Приложение №1'!Q331-'Приложение №1'!R331-'Приложение №1'!S331</f>
        <v>0</v>
      </c>
      <c r="U331" s="107">
        <f t="shared" si="103"/>
        <v>2508.9631649727944</v>
      </c>
      <c r="V331" s="107">
        <f t="shared" si="103"/>
        <v>2508.9631649727944</v>
      </c>
      <c r="W331" s="135">
        <v>2023</v>
      </c>
      <c r="X331" s="28" t="e">
        <f>+#REF!-'[1]Приложение №1'!$P900</f>
        <v>#REF!</v>
      </c>
      <c r="Z331" s="30">
        <f t="shared" si="107"/>
        <v>26291754.259999998</v>
      </c>
      <c r="AA331" s="26">
        <v>0</v>
      </c>
      <c r="AB331" s="26">
        <v>0</v>
      </c>
      <c r="AC331" s="26">
        <v>2724296.2008204604</v>
      </c>
      <c r="AD331" s="26">
        <v>0</v>
      </c>
      <c r="AE331" s="26">
        <v>0</v>
      </c>
      <c r="AF331" s="26"/>
      <c r="AG331" s="26">
        <v>0</v>
      </c>
      <c r="AH331" s="26">
        <v>0</v>
      </c>
      <c r="AI331" s="26">
        <v>13377560.538169799</v>
      </c>
      <c r="AJ331" s="26">
        <v>0</v>
      </c>
      <c r="AK331" s="26">
        <v>6945691.3623090005</v>
      </c>
      <c r="AL331" s="26">
        <v>0</v>
      </c>
      <c r="AM331" s="26">
        <v>2477285.4183</v>
      </c>
      <c r="AN331" s="31">
        <v>262917.54259999999</v>
      </c>
      <c r="AO331" s="32">
        <v>504003.19780074002</v>
      </c>
      <c r="AP331" s="77">
        <f>+N331-'Приложение №2'!E331</f>
        <v>0</v>
      </c>
      <c r="AQ331" s="1">
        <v>1384488.01</v>
      </c>
      <c r="AR331" s="1">
        <f t="shared" si="105"/>
        <v>312313.8</v>
      </c>
      <c r="AS331" s="1">
        <f t="shared" si="106"/>
        <v>11022840</v>
      </c>
      <c r="AT331" s="28">
        <f t="shared" si="90"/>
        <v>-5652010.7351698</v>
      </c>
      <c r="AU331" s="28">
        <f>+P331-'[6]Приложение №1'!$P319</f>
        <v>0</v>
      </c>
      <c r="AV331" s="28">
        <f>+Q331-'[6]Приложение №1'!$Q319</f>
        <v>0</v>
      </c>
      <c r="AW331" s="28">
        <f>+R331-'[6]Приложение №1'!$R319</f>
        <v>0</v>
      </c>
      <c r="AX331" s="28">
        <f>+S331-'[6]Приложение №1'!$S319</f>
        <v>0</v>
      </c>
      <c r="AY331" s="28">
        <f>+T331-'[6]Приложение №1'!$T319</f>
        <v>0</v>
      </c>
    </row>
    <row r="332" spans="1:51" x14ac:dyDescent="0.25">
      <c r="A332" s="137">
        <f t="shared" ref="A332:B332" si="111">+A331+1</f>
        <v>314</v>
      </c>
      <c r="B332" s="138">
        <f t="shared" si="111"/>
        <v>126</v>
      </c>
      <c r="C332" s="120" t="s">
        <v>51</v>
      </c>
      <c r="D332" s="120" t="s">
        <v>439</v>
      </c>
      <c r="E332" s="121">
        <v>1966</v>
      </c>
      <c r="F332" s="121">
        <v>2013</v>
      </c>
      <c r="G332" s="121" t="s">
        <v>43</v>
      </c>
      <c r="H332" s="121">
        <v>4</v>
      </c>
      <c r="I332" s="121">
        <v>6</v>
      </c>
      <c r="J332" s="107">
        <v>2829.5</v>
      </c>
      <c r="K332" s="107">
        <v>2537.8000000000002</v>
      </c>
      <c r="L332" s="107">
        <v>230.6</v>
      </c>
      <c r="M332" s="122">
        <v>144</v>
      </c>
      <c r="N332" s="133">
        <f t="shared" si="87"/>
        <v>2498104.0629126206</v>
      </c>
      <c r="O332" s="107"/>
      <c r="P332" s="108"/>
      <c r="Q332" s="108"/>
      <c r="R332" s="108">
        <f>+AQ332+AR332</f>
        <v>102987.15999999992</v>
      </c>
      <c r="S332" s="108">
        <f>+'Приложение №2'!E332-'Приложение №1'!R332</f>
        <v>2395116.9029126205</v>
      </c>
      <c r="T332" s="108">
        <v>0</v>
      </c>
      <c r="U332" s="107">
        <f t="shared" si="103"/>
        <v>902.36384298245218</v>
      </c>
      <c r="V332" s="107">
        <f t="shared" si="103"/>
        <v>902.36384298245218</v>
      </c>
      <c r="W332" s="135">
        <v>2023</v>
      </c>
      <c r="X332" s="28" t="e">
        <f>+#REF!-'[1]Приложение №1'!$P1637</f>
        <v>#REF!</v>
      </c>
      <c r="Z332" s="30">
        <f t="shared" si="107"/>
        <v>15087934.029999999</v>
      </c>
      <c r="AA332" s="26">
        <v>6065034.6402882598</v>
      </c>
      <c r="AB332" s="26">
        <v>2161221.1824524999</v>
      </c>
      <c r="AC332" s="26">
        <v>2257995.2503873804</v>
      </c>
      <c r="AD332" s="26">
        <v>1413647.7960217199</v>
      </c>
      <c r="AE332" s="26">
        <v>864921.32273358025</v>
      </c>
      <c r="AF332" s="26"/>
      <c r="AG332" s="26">
        <v>232731.98563608</v>
      </c>
      <c r="AH332" s="26">
        <v>0</v>
      </c>
      <c r="AI332" s="26">
        <v>0</v>
      </c>
      <c r="AJ332" s="26">
        <v>0</v>
      </c>
      <c r="AK332" s="26">
        <v>0</v>
      </c>
      <c r="AL332" s="26">
        <v>0</v>
      </c>
      <c r="AM332" s="26">
        <v>1657316.1065</v>
      </c>
      <c r="AN332" s="31">
        <v>150879.34030000001</v>
      </c>
      <c r="AO332" s="32">
        <v>284186.40568048006</v>
      </c>
      <c r="AP332" s="77">
        <f>+N332-'Приложение №2'!E332</f>
        <v>0</v>
      </c>
      <c r="AQ332" s="28">
        <f>1303433.04-R119</f>
        <v>-202910.84000000008</v>
      </c>
      <c r="AR332" s="1">
        <f t="shared" si="105"/>
        <v>305898</v>
      </c>
      <c r="AS332" s="1">
        <f>+(K332*10+L332*20)*12*30-S119</f>
        <v>7839932.5389768397</v>
      </c>
      <c r="AT332" s="28">
        <f t="shared" si="90"/>
        <v>-5444815.6360642193</v>
      </c>
      <c r="AU332" s="28">
        <f>+P332-'[6]Приложение №1'!$P320</f>
        <v>-8252506.3266666681</v>
      </c>
      <c r="AV332" s="28">
        <f>+Q332-'[6]Приложение №1'!$Q320</f>
        <v>0</v>
      </c>
      <c r="AW332" s="28">
        <f>+R332-'[6]Приложение №1'!$R320</f>
        <v>0</v>
      </c>
      <c r="AX332" s="28">
        <f>+S332-'[6]Приложение №1'!$S320</f>
        <v>0</v>
      </c>
      <c r="AY332" s="28">
        <f>+T332-'[6]Приложение №1'!$T320</f>
        <v>0</v>
      </c>
    </row>
    <row r="333" spans="1:51" x14ac:dyDescent="0.25">
      <c r="A333" s="137">
        <f t="shared" ref="A333:B333" si="112">+A332+1</f>
        <v>315</v>
      </c>
      <c r="B333" s="138">
        <f t="shared" si="112"/>
        <v>127</v>
      </c>
      <c r="C333" s="120" t="s">
        <v>51</v>
      </c>
      <c r="D333" s="120" t="s">
        <v>489</v>
      </c>
      <c r="E333" s="121">
        <v>1971</v>
      </c>
      <c r="F333" s="121">
        <v>2013</v>
      </c>
      <c r="G333" s="121" t="s">
        <v>43</v>
      </c>
      <c r="H333" s="121">
        <v>4</v>
      </c>
      <c r="I333" s="121">
        <v>4</v>
      </c>
      <c r="J333" s="107">
        <v>3003.8</v>
      </c>
      <c r="K333" s="107">
        <v>2693.7</v>
      </c>
      <c r="L333" s="107">
        <v>0</v>
      </c>
      <c r="M333" s="122">
        <v>120</v>
      </c>
      <c r="N333" s="133">
        <f t="shared" si="87"/>
        <v>1024499.247894</v>
      </c>
      <c r="O333" s="107"/>
      <c r="P333" s="108">
        <v>0</v>
      </c>
      <c r="Q333" s="108"/>
      <c r="R333" s="108">
        <f>+'Приложение №2'!E333</f>
        <v>1024499.247894</v>
      </c>
      <c r="S333" s="108">
        <f>+'Приложение №2'!E333-'Приложение №1'!R333</f>
        <v>0</v>
      </c>
      <c r="T333" s="108">
        <v>0</v>
      </c>
      <c r="U333" s="107">
        <f t="shared" si="103"/>
        <v>380.3316063013699</v>
      </c>
      <c r="V333" s="107">
        <f t="shared" si="103"/>
        <v>380.3316063013699</v>
      </c>
      <c r="W333" s="135">
        <v>2023</v>
      </c>
      <c r="X333" s="28" t="e">
        <f>+#REF!-'[1]Приложение №1'!$P701</f>
        <v>#REF!</v>
      </c>
      <c r="Z333" s="30">
        <f t="shared" si="107"/>
        <v>21441082.737894002</v>
      </c>
      <c r="AA333" s="26">
        <v>0</v>
      </c>
      <c r="AB333" s="26">
        <v>2296919.6304310197</v>
      </c>
      <c r="AC333" s="26">
        <v>2399769.9437850602</v>
      </c>
      <c r="AD333" s="26">
        <v>0</v>
      </c>
      <c r="AE333" s="26">
        <v>1020388.92</v>
      </c>
      <c r="AF333" s="26"/>
      <c r="AG333" s="26">
        <v>247344.72404292002</v>
      </c>
      <c r="AH333" s="26">
        <v>0</v>
      </c>
      <c r="AI333" s="26">
        <v>0</v>
      </c>
      <c r="AJ333" s="26">
        <v>0</v>
      </c>
      <c r="AK333" s="26">
        <v>6118299.9556223992</v>
      </c>
      <c r="AL333" s="26">
        <v>6599302.6705422606</v>
      </c>
      <c r="AM333" s="26">
        <v>2162864.8599</v>
      </c>
      <c r="AN333" s="31">
        <v>205857.47699999998</v>
      </c>
      <c r="AO333" s="32">
        <v>390334.55657033995</v>
      </c>
      <c r="AP333" s="77">
        <f>+N333-'Приложение №2'!E333</f>
        <v>0</v>
      </c>
      <c r="AQ333" s="1">
        <f>1245150.45-129665.9434</f>
        <v>1115484.5066</v>
      </c>
      <c r="AR333" s="1">
        <f t="shared" si="105"/>
        <v>274757.39999999997</v>
      </c>
      <c r="AS333" s="1">
        <f>+(K333*10+L333*20)*12*30-552777.2166</f>
        <v>9144542.7833999991</v>
      </c>
      <c r="AT333" s="28">
        <f t="shared" si="90"/>
        <v>-9144542.7833999991</v>
      </c>
      <c r="AU333" s="28">
        <f>+P333-'[6]Приложение №1'!$P321</f>
        <v>0</v>
      </c>
      <c r="AV333" s="28">
        <f>+Q333-'[6]Приложение №1'!$Q321</f>
        <v>0</v>
      </c>
      <c r="AW333" s="28">
        <f>+R333-'[6]Приложение №1'!$R321</f>
        <v>0</v>
      </c>
      <c r="AX333" s="28">
        <f>+S333-'[6]Приложение №1'!$S321</f>
        <v>0</v>
      </c>
      <c r="AY333" s="28">
        <f>+T333-'[6]Приложение №1'!$T321</f>
        <v>0</v>
      </c>
    </row>
    <row r="334" spans="1:51" s="34" customFormat="1" x14ac:dyDescent="0.25">
      <c r="A334" s="137">
        <f t="shared" ref="A334:B334" si="113">+A333+1</f>
        <v>316</v>
      </c>
      <c r="B334" s="138">
        <f t="shared" si="113"/>
        <v>128</v>
      </c>
      <c r="C334" s="120" t="s">
        <v>51</v>
      </c>
      <c r="D334" s="120" t="s">
        <v>490</v>
      </c>
      <c r="E334" s="121" t="s">
        <v>113</v>
      </c>
      <c r="F334" s="121"/>
      <c r="G334" s="121" t="s">
        <v>43</v>
      </c>
      <c r="H334" s="121" t="s">
        <v>101</v>
      </c>
      <c r="I334" s="121" t="s">
        <v>101</v>
      </c>
      <c r="J334" s="107">
        <v>2630.5</v>
      </c>
      <c r="K334" s="107">
        <v>2361.1</v>
      </c>
      <c r="L334" s="107">
        <v>37.5</v>
      </c>
      <c r="M334" s="122">
        <v>122</v>
      </c>
      <c r="N334" s="133">
        <f t="shared" ref="N334:N397" si="114">+P334+Q334+R334+S334+T334</f>
        <v>11931064.43</v>
      </c>
      <c r="O334" s="107">
        <v>0</v>
      </c>
      <c r="P334" s="108">
        <f>+'Приложение №2'!E334-'Приложение №1'!R334-'Приложение №1'!S334</f>
        <v>1780478.1500000004</v>
      </c>
      <c r="Q334" s="108">
        <v>0</v>
      </c>
      <c r="R334" s="108">
        <f>+AQ334+AR334</f>
        <v>1380626.28</v>
      </c>
      <c r="S334" s="108">
        <f>+AS334</f>
        <v>8769960</v>
      </c>
      <c r="T334" s="108">
        <v>0</v>
      </c>
      <c r="U334" s="107">
        <f t="shared" si="103"/>
        <v>4974.1784499291252</v>
      </c>
      <c r="V334" s="107">
        <f t="shared" si="103"/>
        <v>4974.1784499291252</v>
      </c>
      <c r="W334" s="135">
        <v>2023</v>
      </c>
      <c r="X334" s="34">
        <v>898574.26</v>
      </c>
      <c r="Y334" s="34">
        <f>+(K334*9.1+L334*18.19)*12</f>
        <v>266017.62</v>
      </c>
      <c r="AA334" s="35">
        <f>+N334-'[5]Приложение № 2'!E305</f>
        <v>-13837459.350000001</v>
      </c>
      <c r="AD334" s="35">
        <f>+N334-'[5]Приложение № 2'!E305</f>
        <v>-13837459.350000001</v>
      </c>
      <c r="AP334" s="77">
        <f>+N334-'Приложение №2'!E334</f>
        <v>0</v>
      </c>
      <c r="AQ334" s="34">
        <v>1132144.08</v>
      </c>
      <c r="AR334" s="1">
        <f t="shared" si="105"/>
        <v>248482.19999999998</v>
      </c>
      <c r="AS334" s="1">
        <f>+(K334*10+L334*20)*12*30</f>
        <v>8769960</v>
      </c>
      <c r="AT334" s="28">
        <f t="shared" si="90"/>
        <v>0</v>
      </c>
      <c r="AU334" s="28">
        <f>+P334-'[6]Приложение №1'!$P322</f>
        <v>0</v>
      </c>
      <c r="AV334" s="28">
        <f>+Q334-'[6]Приложение №1'!$Q322</f>
        <v>0</v>
      </c>
      <c r="AW334" s="28">
        <f>+R334-'[6]Приложение №1'!$R322</f>
        <v>0</v>
      </c>
      <c r="AX334" s="28">
        <f>+S334-'[6]Приложение №1'!$S322</f>
        <v>0</v>
      </c>
      <c r="AY334" s="28">
        <f>+T334-'[6]Приложение №1'!$T322</f>
        <v>0</v>
      </c>
    </row>
    <row r="335" spans="1:51" x14ac:dyDescent="0.25">
      <c r="A335" s="137">
        <f t="shared" ref="A335:B335" si="115">+A334+1</f>
        <v>317</v>
      </c>
      <c r="B335" s="138">
        <f t="shared" si="115"/>
        <v>129</v>
      </c>
      <c r="C335" s="120" t="s">
        <v>51</v>
      </c>
      <c r="D335" s="120" t="s">
        <v>441</v>
      </c>
      <c r="E335" s="121">
        <v>1995</v>
      </c>
      <c r="F335" s="121">
        <v>2013</v>
      </c>
      <c r="G335" s="121" t="s">
        <v>43</v>
      </c>
      <c r="H335" s="121">
        <v>5</v>
      </c>
      <c r="I335" s="121">
        <v>2</v>
      </c>
      <c r="J335" s="107">
        <v>2325.6999999999998</v>
      </c>
      <c r="K335" s="107">
        <v>1861.6</v>
      </c>
      <c r="L335" s="107">
        <v>0</v>
      </c>
      <c r="M335" s="122">
        <v>45</v>
      </c>
      <c r="N335" s="133">
        <f t="shared" si="114"/>
        <v>1835710.56090784</v>
      </c>
      <c r="O335" s="107"/>
      <c r="P335" s="108"/>
      <c r="Q335" s="108"/>
      <c r="R335" s="108">
        <f>+AQ335+AR335</f>
        <v>907762.26</v>
      </c>
      <c r="S335" s="108">
        <f>+'Приложение №2'!E335-'Приложение №1'!R335</f>
        <v>927948.30090784002</v>
      </c>
      <c r="T335" s="108">
        <f>+'Приложение №2'!E335-'Приложение №1'!P335-'Приложение №1'!Q335-'Приложение №1'!R335-'Приложение №1'!S335</f>
        <v>0</v>
      </c>
      <c r="U335" s="107">
        <f t="shared" si="103"/>
        <v>986.09290981297818</v>
      </c>
      <c r="V335" s="107">
        <f t="shared" si="103"/>
        <v>986.09290981297818</v>
      </c>
      <c r="W335" s="135">
        <v>2023</v>
      </c>
      <c r="X335" s="28" t="e">
        <f>+#REF!-'[1]Приложение №1'!$P1294</f>
        <v>#REF!</v>
      </c>
      <c r="Z335" s="30">
        <f>SUM(AA335:AO335)</f>
        <v>24619973.59</v>
      </c>
      <c r="AA335" s="26">
        <v>4453931.4770332193</v>
      </c>
      <c r="AB335" s="26">
        <v>1587118.89355698</v>
      </c>
      <c r="AC335" s="26">
        <v>1658186.10096636</v>
      </c>
      <c r="AD335" s="26">
        <v>1038129.3440137201</v>
      </c>
      <c r="AE335" s="26">
        <v>0</v>
      </c>
      <c r="AF335" s="26"/>
      <c r="AG335" s="26">
        <v>170909.54989416001</v>
      </c>
      <c r="AH335" s="26">
        <v>0</v>
      </c>
      <c r="AI335" s="26">
        <v>8142464.4194249995</v>
      </c>
      <c r="AJ335" s="26">
        <v>0</v>
      </c>
      <c r="AK335" s="26">
        <v>0</v>
      </c>
      <c r="AL335" s="26">
        <v>4559967.0846529808</v>
      </c>
      <c r="AM335" s="26">
        <v>2290484.5943999998</v>
      </c>
      <c r="AN335" s="31">
        <v>246199.7359</v>
      </c>
      <c r="AO335" s="32">
        <v>472582.39015758003</v>
      </c>
      <c r="AP335" s="77">
        <f>+N335-'Приложение №2'!E335</f>
        <v>0</v>
      </c>
      <c r="AQ335" s="1">
        <v>717879.06</v>
      </c>
      <c r="AR335" s="1">
        <f t="shared" si="105"/>
        <v>189883.19999999998</v>
      </c>
      <c r="AS335" s="1">
        <f>+(K335*10+L335*20)*12*30</f>
        <v>6701760</v>
      </c>
      <c r="AT335" s="28">
        <f t="shared" si="90"/>
        <v>-5773811.69909216</v>
      </c>
      <c r="AU335" s="28">
        <f>+P335-'[6]Приложение №1'!$P323</f>
        <v>-3679232.53</v>
      </c>
      <c r="AV335" s="28">
        <f>+Q335-'[6]Приложение №1'!$Q323</f>
        <v>0</v>
      </c>
      <c r="AW335" s="28">
        <f>+R335-'[6]Приложение №1'!$R323</f>
        <v>0</v>
      </c>
      <c r="AX335" s="28">
        <f>+S335-'[6]Приложение №1'!$S323</f>
        <v>0</v>
      </c>
      <c r="AY335" s="28">
        <f>+T335-'[6]Приложение №1'!$T323</f>
        <v>0</v>
      </c>
    </row>
    <row r="336" spans="1:51" x14ac:dyDescent="0.25">
      <c r="A336" s="137">
        <f t="shared" ref="A336:B336" si="116">+A335+1</f>
        <v>318</v>
      </c>
      <c r="B336" s="138">
        <f t="shared" si="116"/>
        <v>130</v>
      </c>
      <c r="C336" s="120" t="s">
        <v>51</v>
      </c>
      <c r="D336" s="120" t="s">
        <v>491</v>
      </c>
      <c r="E336" s="121">
        <v>1976</v>
      </c>
      <c r="F336" s="121">
        <v>2013</v>
      </c>
      <c r="G336" s="121" t="s">
        <v>43</v>
      </c>
      <c r="H336" s="121">
        <v>4</v>
      </c>
      <c r="I336" s="121">
        <v>4</v>
      </c>
      <c r="J336" s="107">
        <v>2850.8</v>
      </c>
      <c r="K336" s="107">
        <v>2612.3000000000002</v>
      </c>
      <c r="L336" s="107">
        <v>0</v>
      </c>
      <c r="M336" s="122">
        <v>135</v>
      </c>
      <c r="N336" s="133">
        <f t="shared" si="114"/>
        <v>1024198.037306</v>
      </c>
      <c r="O336" s="107"/>
      <c r="P336" s="108"/>
      <c r="Q336" s="108"/>
      <c r="R336" s="108">
        <f>+'Приложение №2'!E336</f>
        <v>1024198.037306</v>
      </c>
      <c r="S336" s="108">
        <f>+'Приложение №2'!E336-'Приложение №1'!R336</f>
        <v>0</v>
      </c>
      <c r="T336" s="108">
        <v>0</v>
      </c>
      <c r="U336" s="107">
        <f t="shared" ref="U336:V358" si="117">$N336/($K336+$L336)</f>
        <v>392.06754098151055</v>
      </c>
      <c r="V336" s="107">
        <f t="shared" si="117"/>
        <v>392.06754098151055</v>
      </c>
      <c r="W336" s="135">
        <v>2023</v>
      </c>
      <c r="X336" s="28" t="e">
        <f>+#REF!-'[1]Приложение №1'!$P704</f>
        <v>#REF!</v>
      </c>
      <c r="Z336" s="30">
        <f>SUM(AA336:AO336)</f>
        <v>9718452.3328623008</v>
      </c>
      <c r="AA336" s="26">
        <v>0</v>
      </c>
      <c r="AB336" s="26"/>
      <c r="AC336" s="26">
        <v>0</v>
      </c>
      <c r="AD336" s="26"/>
      <c r="AE336" s="26">
        <v>1013323.25</v>
      </c>
      <c r="AF336" s="26"/>
      <c r="AG336" s="26">
        <v>237743.37685980002</v>
      </c>
      <c r="AH336" s="26">
        <v>0</v>
      </c>
      <c r="AI336" s="26">
        <v>0</v>
      </c>
      <c r="AJ336" s="26">
        <v>0</v>
      </c>
      <c r="AK336" s="26">
        <v>5880801.6867473992</v>
      </c>
      <c r="AL336" s="26"/>
      <c r="AM336" s="26">
        <v>2042532.0290000001</v>
      </c>
      <c r="AN336" s="31">
        <v>187559.97450000001</v>
      </c>
      <c r="AO336" s="32">
        <v>356492.0157551</v>
      </c>
      <c r="AP336" s="77">
        <f>+N336-'Приложение №2'!E336</f>
        <v>0</v>
      </c>
      <c r="AQ336" s="1">
        <f>1147783.87-88084.66</f>
        <v>1059699.2100000002</v>
      </c>
      <c r="AR336" s="1">
        <f t="shared" si="105"/>
        <v>266454.59999999998</v>
      </c>
      <c r="AS336" s="1">
        <f>+(K336*10+L336*20)*12*30-2038331.33</f>
        <v>7365948.6699999999</v>
      </c>
      <c r="AT336" s="28">
        <f t="shared" si="90"/>
        <v>-7365948.6699999999</v>
      </c>
      <c r="AU336" s="28">
        <f>+P336-'[6]Приложение №1'!$P324</f>
        <v>-2477837.44</v>
      </c>
      <c r="AV336" s="28">
        <f>+Q336-'[6]Приложение №1'!$Q324</f>
        <v>0</v>
      </c>
      <c r="AW336" s="28">
        <f>+R336-'[6]Приложение №1'!$R324</f>
        <v>0</v>
      </c>
      <c r="AX336" s="28">
        <f>+S336-'[6]Приложение №1'!$S324</f>
        <v>0</v>
      </c>
      <c r="AY336" s="28">
        <f>+T336-'[6]Приложение №1'!$T324</f>
        <v>0</v>
      </c>
    </row>
    <row r="337" spans="1:51" x14ac:dyDescent="0.25">
      <c r="A337" s="137">
        <f t="shared" ref="A337:B337" si="118">+A336+1</f>
        <v>319</v>
      </c>
      <c r="B337" s="138">
        <f t="shared" si="118"/>
        <v>131</v>
      </c>
      <c r="C337" s="120" t="s">
        <v>51</v>
      </c>
      <c r="D337" s="120" t="s">
        <v>492</v>
      </c>
      <c r="E337" s="121">
        <v>1968</v>
      </c>
      <c r="F337" s="121">
        <v>2013</v>
      </c>
      <c r="G337" s="121" t="s">
        <v>43</v>
      </c>
      <c r="H337" s="121">
        <v>5</v>
      </c>
      <c r="I337" s="121">
        <v>5</v>
      </c>
      <c r="J337" s="107">
        <v>3261.1</v>
      </c>
      <c r="K337" s="107">
        <v>2512.5</v>
      </c>
      <c r="L337" s="107">
        <v>664.8</v>
      </c>
      <c r="M337" s="122">
        <v>128</v>
      </c>
      <c r="N337" s="133">
        <f t="shared" si="114"/>
        <v>1245038.665028</v>
      </c>
      <c r="O337" s="107"/>
      <c r="P337" s="108"/>
      <c r="Q337" s="108"/>
      <c r="R337" s="108">
        <f>+'Приложение №2'!E337</f>
        <v>1245038.665028</v>
      </c>
      <c r="S337" s="108">
        <f>+'Приложение №2'!E337-'Приложение №1'!R337</f>
        <v>0</v>
      </c>
      <c r="T337" s="108">
        <v>0</v>
      </c>
      <c r="U337" s="107">
        <f t="shared" si="117"/>
        <v>391.85429925660151</v>
      </c>
      <c r="V337" s="107">
        <f t="shared" si="117"/>
        <v>391.85429925660151</v>
      </c>
      <c r="W337" s="135">
        <v>2023</v>
      </c>
      <c r="X337" s="28" t="e">
        <f>+#REF!-'[1]Приложение №1'!$P430</f>
        <v>#REF!</v>
      </c>
      <c r="Z337" s="30">
        <f>SUM(AA337:AO337)</f>
        <v>30275329.636437476</v>
      </c>
      <c r="AA337" s="26">
        <v>6028027.9685480399</v>
      </c>
      <c r="AB337" s="26">
        <v>0</v>
      </c>
      <c r="AC337" s="26">
        <v>2244217.7771235602</v>
      </c>
      <c r="AD337" s="26">
        <v>0</v>
      </c>
      <c r="AE337" s="26">
        <v>1240916.79</v>
      </c>
      <c r="AF337" s="26"/>
      <c r="AG337" s="26">
        <v>0</v>
      </c>
      <c r="AH337" s="26">
        <v>0</v>
      </c>
      <c r="AI337" s="26">
        <v>11020152.319356598</v>
      </c>
      <c r="AJ337" s="26">
        <v>0</v>
      </c>
      <c r="AK337" s="26">
        <v>5721714.1000613989</v>
      </c>
      <c r="AL337" s="26">
        <v>0</v>
      </c>
      <c r="AM337" s="26">
        <v>3056047.9632999999</v>
      </c>
      <c r="AN337" s="31">
        <v>328671.8125</v>
      </c>
      <c r="AO337" s="32">
        <v>635580.90554787999</v>
      </c>
      <c r="AP337" s="77">
        <f>+N337-'Приложение №2'!E337</f>
        <v>0</v>
      </c>
      <c r="AQ337" s="1">
        <v>1018647.82</v>
      </c>
      <c r="AR337" s="1">
        <f t="shared" si="105"/>
        <v>391894.2</v>
      </c>
      <c r="AS337" s="1">
        <f>+(K337*10+L337*20)*12*30</f>
        <v>13831560</v>
      </c>
      <c r="AT337" s="28">
        <f t="shared" si="90"/>
        <v>-13831560</v>
      </c>
      <c r="AU337" s="28">
        <f>+P337-'[6]Приложение №1'!$P325</f>
        <v>-9266556.7940246668</v>
      </c>
      <c r="AV337" s="28">
        <f>+Q337-'[6]Приложение №1'!$Q325</f>
        <v>0</v>
      </c>
      <c r="AW337" s="28">
        <f>+R337-'[6]Приложение №1'!$R325</f>
        <v>0</v>
      </c>
      <c r="AX337" s="28">
        <f>+S337-'[6]Приложение №1'!$S325</f>
        <v>0</v>
      </c>
      <c r="AY337" s="28">
        <f>+T337-'[6]Приложение №1'!$T325</f>
        <v>0</v>
      </c>
    </row>
    <row r="338" spans="1:51" x14ac:dyDescent="0.25">
      <c r="A338" s="137">
        <f t="shared" ref="A338:B338" si="119">+A337+1</f>
        <v>320</v>
      </c>
      <c r="B338" s="138">
        <f t="shared" si="119"/>
        <v>132</v>
      </c>
      <c r="C338" s="120" t="s">
        <v>51</v>
      </c>
      <c r="D338" s="120" t="s">
        <v>443</v>
      </c>
      <c r="E338" s="121">
        <v>1986</v>
      </c>
      <c r="F338" s="121">
        <v>2013</v>
      </c>
      <c r="G338" s="121" t="s">
        <v>43</v>
      </c>
      <c r="H338" s="121">
        <v>12</v>
      </c>
      <c r="I338" s="121">
        <v>1</v>
      </c>
      <c r="J338" s="107">
        <v>5358.08</v>
      </c>
      <c r="K338" s="107">
        <v>4351.1000000000004</v>
      </c>
      <c r="L338" s="107">
        <v>75.099999999999994</v>
      </c>
      <c r="M338" s="122">
        <v>175</v>
      </c>
      <c r="N338" s="123">
        <f t="shared" si="114"/>
        <v>542862</v>
      </c>
      <c r="O338" s="107"/>
      <c r="P338" s="108"/>
      <c r="Q338" s="108"/>
      <c r="R338" s="108"/>
      <c r="S338" s="108"/>
      <c r="T338" s="108">
        <f>+'Приложение №2'!E338-'Приложение №1'!P338-'Приложение №1'!Q338-'Приложение №1'!R338-'Приложение №1'!S338</f>
        <v>542862</v>
      </c>
      <c r="U338" s="108">
        <f t="shared" si="117"/>
        <v>122.64741764945097</v>
      </c>
      <c r="V338" s="108">
        <f t="shared" si="117"/>
        <v>122.64741764945097</v>
      </c>
      <c r="W338" s="135">
        <v>2022</v>
      </c>
      <c r="X338" s="28" t="e">
        <f>+#REF!-'[1]Приложение №1'!$P1317</f>
        <v>#REF!</v>
      </c>
      <c r="Z338" s="30">
        <f>SUM(AA338:AO338)</f>
        <v>79559391.959999993</v>
      </c>
      <c r="AA338" s="26">
        <v>8341354.4473349992</v>
      </c>
      <c r="AB338" s="26">
        <v>5553433.1235902393</v>
      </c>
      <c r="AC338" s="26">
        <v>3380551.53059988</v>
      </c>
      <c r="AD338" s="26">
        <v>3049959.7596686399</v>
      </c>
      <c r="AE338" s="26">
        <v>1113740.92605384</v>
      </c>
      <c r="AF338" s="26"/>
      <c r="AG338" s="26">
        <v>465647.12643960002</v>
      </c>
      <c r="AH338" s="26">
        <v>0</v>
      </c>
      <c r="AI338" s="26">
        <v>3947389.3810512</v>
      </c>
      <c r="AJ338" s="26">
        <v>0</v>
      </c>
      <c r="AK338" s="26">
        <v>34269240.723520316</v>
      </c>
      <c r="AL338" s="26">
        <v>9011986.1099326797</v>
      </c>
      <c r="AM338" s="26">
        <v>8118689.5914000003</v>
      </c>
      <c r="AN338" s="31">
        <v>795593.91959999991</v>
      </c>
      <c r="AO338" s="32">
        <v>1511805.3208086002</v>
      </c>
      <c r="AP338" s="77">
        <f>+N338-'Приложение №2'!E338</f>
        <v>0</v>
      </c>
      <c r="AQ338" s="1">
        <v>2642732.98</v>
      </c>
      <c r="AR338" s="1">
        <f>+(K338*13.29+L338*22.52)*12*0.85</f>
        <v>607077.18420000002</v>
      </c>
      <c r="AS338" s="1">
        <f>+(K338*13.29+L338*22.52)*12*30</f>
        <v>21426253.560000002</v>
      </c>
      <c r="AT338" s="28">
        <f t="shared" si="90"/>
        <v>-21426253.560000002</v>
      </c>
    </row>
    <row r="339" spans="1:51" s="34" customFormat="1" x14ac:dyDescent="0.25">
      <c r="A339" s="137">
        <f t="shared" ref="A339:B339" si="120">+A338+1</f>
        <v>321</v>
      </c>
      <c r="B339" s="138">
        <f t="shared" si="120"/>
        <v>133</v>
      </c>
      <c r="C339" s="120" t="s">
        <v>51</v>
      </c>
      <c r="D339" s="120" t="s">
        <v>119</v>
      </c>
      <c r="E339" s="121" t="s">
        <v>113</v>
      </c>
      <c r="F339" s="121"/>
      <c r="G339" s="121" t="s">
        <v>83</v>
      </c>
      <c r="H339" s="121" t="s">
        <v>101</v>
      </c>
      <c r="I339" s="121" t="s">
        <v>105</v>
      </c>
      <c r="J339" s="107">
        <v>5678.2</v>
      </c>
      <c r="K339" s="107">
        <v>4923.8</v>
      </c>
      <c r="L339" s="107">
        <v>69.900000000000006</v>
      </c>
      <c r="M339" s="122">
        <v>205</v>
      </c>
      <c r="N339" s="133">
        <f t="shared" si="114"/>
        <v>73380912.513798714</v>
      </c>
      <c r="O339" s="107">
        <v>0</v>
      </c>
      <c r="P339" s="108">
        <v>17605158.597932905</v>
      </c>
      <c r="Q339" s="108">
        <v>0</v>
      </c>
      <c r="R339" s="108">
        <f>+AQ339+AR339</f>
        <v>2797375.72</v>
      </c>
      <c r="S339" s="108">
        <f>+AS339</f>
        <v>18228960</v>
      </c>
      <c r="T339" s="108">
        <f>+'Приложение №2'!E339-'Приложение №1'!P339-'Приложение №1'!Q339-'Приложение №1'!R339-'Приложение №1'!S339</f>
        <v>34749418.19586581</v>
      </c>
      <c r="U339" s="107">
        <f t="shared" si="117"/>
        <v>14694.697822015483</v>
      </c>
      <c r="V339" s="107">
        <f t="shared" si="117"/>
        <v>14694.697822015483</v>
      </c>
      <c r="W339" s="135">
        <v>2023</v>
      </c>
      <c r="X339" s="34">
        <v>1831927.01</v>
      </c>
      <c r="Y339" s="34">
        <f>+(K339*9.1+L339*18.19)*12</f>
        <v>552936.73200000008</v>
      </c>
      <c r="AA339" s="35">
        <f>+N339-'[5]Приложение № 2'!E307</f>
        <v>71422771.353798717</v>
      </c>
      <c r="AD339" s="35">
        <f>+N339-'[5]Приложение № 2'!E307</f>
        <v>71422771.353798717</v>
      </c>
      <c r="AP339" s="77">
        <f>+N339-'Приложение №2'!E339</f>
        <v>0</v>
      </c>
      <c r="AQ339" s="34">
        <v>2280888.52</v>
      </c>
      <c r="AR339" s="1">
        <f t="shared" ref="AR339:AR388" si="121">+(K339*10+L339*20)*12*0.85</f>
        <v>516487.2</v>
      </c>
      <c r="AS339" s="1">
        <f>+(K339*10+L339*20)*12*30</f>
        <v>18228960</v>
      </c>
      <c r="AT339" s="28">
        <f t="shared" si="90"/>
        <v>0</v>
      </c>
      <c r="AU339" s="28">
        <f>+P339-'[6]Приложение №1'!$P327</f>
        <v>0</v>
      </c>
      <c r="AV339" s="28">
        <f>+Q339-'[6]Приложение №1'!$Q327</f>
        <v>0</v>
      </c>
      <c r="AW339" s="28">
        <f>+R339-'[6]Приложение №1'!$R327</f>
        <v>0</v>
      </c>
      <c r="AX339" s="28">
        <f>+S339-'[6]Приложение №1'!$S327</f>
        <v>0</v>
      </c>
      <c r="AY339" s="28">
        <f>+T339-'[6]Приложение №1'!$T327</f>
        <v>0</v>
      </c>
    </row>
    <row r="340" spans="1:51" s="34" customFormat="1" x14ac:dyDescent="0.25">
      <c r="A340" s="137">
        <f t="shared" ref="A340:B340" si="122">+A339+1</f>
        <v>322</v>
      </c>
      <c r="B340" s="138">
        <f t="shared" si="122"/>
        <v>134</v>
      </c>
      <c r="C340" s="120" t="s">
        <v>51</v>
      </c>
      <c r="D340" s="120" t="s">
        <v>493</v>
      </c>
      <c r="E340" s="121" t="s">
        <v>113</v>
      </c>
      <c r="F340" s="121"/>
      <c r="G340" s="121" t="s">
        <v>83</v>
      </c>
      <c r="H340" s="121" t="s">
        <v>101</v>
      </c>
      <c r="I340" s="121" t="s">
        <v>105</v>
      </c>
      <c r="J340" s="107">
        <v>5563.5</v>
      </c>
      <c r="K340" s="107">
        <v>4878.8999999999996</v>
      </c>
      <c r="L340" s="107">
        <v>141.30000000000001</v>
      </c>
      <c r="M340" s="122">
        <v>202</v>
      </c>
      <c r="N340" s="133">
        <f t="shared" si="114"/>
        <v>71696112.560389429</v>
      </c>
      <c r="O340" s="107">
        <v>0</v>
      </c>
      <c r="P340" s="108">
        <v>17148929.116796475</v>
      </c>
      <c r="Q340" s="108">
        <v>0</v>
      </c>
      <c r="R340" s="108">
        <f>+AQ340+AR340</f>
        <v>2911056.81</v>
      </c>
      <c r="S340" s="108">
        <f>+AS340</f>
        <v>18581400</v>
      </c>
      <c r="T340" s="108">
        <f>+'Приложение №2'!E340-'Приложение №1'!P340-'Приложение №1'!Q340-'Приложение №1'!R340-'Приложение №1'!S340</f>
        <v>33054726.633592948</v>
      </c>
      <c r="U340" s="107">
        <f t="shared" si="117"/>
        <v>14281.525150469988</v>
      </c>
      <c r="V340" s="107">
        <f t="shared" si="117"/>
        <v>14281.525150469988</v>
      </c>
      <c r="W340" s="135">
        <v>2023</v>
      </c>
      <c r="X340" s="34">
        <v>1863663.58</v>
      </c>
      <c r="Y340" s="34">
        <f>+(K340*9.1+L340*18.19)*12</f>
        <v>563618.84400000004</v>
      </c>
      <c r="AA340" s="35">
        <f>+N340-'[5]Приложение № 2'!E308</f>
        <v>66850723.220389426</v>
      </c>
      <c r="AD340" s="35">
        <f>+N340-'[5]Приложение № 2'!E308</f>
        <v>66850723.220389426</v>
      </c>
      <c r="AP340" s="77">
        <f>+N340-'Приложение №2'!E340</f>
        <v>0</v>
      </c>
      <c r="AQ340" s="34">
        <v>2384583.81</v>
      </c>
      <c r="AR340" s="1">
        <f t="shared" si="121"/>
        <v>526473</v>
      </c>
      <c r="AS340" s="1">
        <f>+(K340*10+L340*20)*12*30</f>
        <v>18581400</v>
      </c>
      <c r="AT340" s="28">
        <f t="shared" si="90"/>
        <v>0</v>
      </c>
      <c r="AU340" s="28">
        <f>+P340-'[6]Приложение №1'!$P328</f>
        <v>0</v>
      </c>
      <c r="AV340" s="28">
        <f>+Q340-'[6]Приложение №1'!$Q328</f>
        <v>0</v>
      </c>
      <c r="AW340" s="28">
        <f>+R340-'[6]Приложение №1'!$R328</f>
        <v>0</v>
      </c>
      <c r="AX340" s="28">
        <f>+S340-'[6]Приложение №1'!$S328</f>
        <v>0</v>
      </c>
      <c r="AY340" s="28">
        <f>+T340-'[6]Приложение №1'!$T328</f>
        <v>0</v>
      </c>
    </row>
    <row r="341" spans="1:51" s="34" customFormat="1" x14ac:dyDescent="0.25">
      <c r="A341" s="137">
        <f t="shared" ref="A341:B341" si="123">+A340+1</f>
        <v>323</v>
      </c>
      <c r="B341" s="138">
        <f t="shared" si="123"/>
        <v>135</v>
      </c>
      <c r="C341" s="120" t="s">
        <v>51</v>
      </c>
      <c r="D341" s="120" t="s">
        <v>494</v>
      </c>
      <c r="E341" s="121" t="s">
        <v>121</v>
      </c>
      <c r="F341" s="121"/>
      <c r="G341" s="121" t="s">
        <v>83</v>
      </c>
      <c r="H341" s="121" t="s">
        <v>101</v>
      </c>
      <c r="I341" s="121" t="s">
        <v>105</v>
      </c>
      <c r="J341" s="107">
        <v>5677.5</v>
      </c>
      <c r="K341" s="107">
        <v>4896.3999999999996</v>
      </c>
      <c r="L341" s="107">
        <v>72</v>
      </c>
      <c r="M341" s="122">
        <v>216</v>
      </c>
      <c r="N341" s="133">
        <f t="shared" si="114"/>
        <v>5510059.6099999994</v>
      </c>
      <c r="O341" s="107">
        <v>0</v>
      </c>
      <c r="P341" s="108"/>
      <c r="Q341" s="108">
        <v>0</v>
      </c>
      <c r="R341" s="108">
        <f>+AQ341+AR341</f>
        <v>233316.44000000012</v>
      </c>
      <c r="S341" s="108">
        <v>386131.76</v>
      </c>
      <c r="T341" s="108">
        <f>+'Приложение №2'!E341-'Приложение №1'!P341-'Приложение №1'!Q341-'Приложение №1'!R341-'Приложение №1'!S341</f>
        <v>4890611.4099999992</v>
      </c>
      <c r="U341" s="107">
        <f t="shared" si="117"/>
        <v>1109.0209343048064</v>
      </c>
      <c r="V341" s="107">
        <f t="shared" si="117"/>
        <v>1109.0209343048064</v>
      </c>
      <c r="W341" s="135">
        <v>2023</v>
      </c>
      <c r="X341" s="34">
        <v>1825680.39</v>
      </c>
      <c r="Y341" s="34">
        <f>+(K341*9.1+L341*18.19)*12</f>
        <v>550403.04</v>
      </c>
      <c r="AA341" s="35">
        <f>+N341-'[5]Приложение № 2'!E309</f>
        <v>4193228.0099999993</v>
      </c>
      <c r="AD341" s="35">
        <f>+N341-'[5]Приложение № 2'!E309</f>
        <v>4193228.0099999993</v>
      </c>
      <c r="AP341" s="77">
        <f>+N341-'Приложение №2'!E341</f>
        <v>0</v>
      </c>
      <c r="AQ341" s="36">
        <f>2265420.6-R122</f>
        <v>-280804.35999999987</v>
      </c>
      <c r="AR341" s="1">
        <f t="shared" si="121"/>
        <v>514120.8</v>
      </c>
      <c r="AS341" s="1">
        <f>+(K341*10+L341*20)*12*30-S122</f>
        <v>0</v>
      </c>
      <c r="AT341" s="28">
        <f t="shared" ref="AT341:AT408" si="124">+S341-AS341</f>
        <v>386131.76</v>
      </c>
      <c r="AU341" s="28">
        <f>+P341-'[6]Приложение №1'!$P329</f>
        <v>-3460456.0512120007</v>
      </c>
      <c r="AV341" s="28">
        <f>+Q341-'[6]Приложение №1'!$Q329</f>
        <v>0</v>
      </c>
      <c r="AW341" s="28">
        <f>+R341-'[6]Приложение №1'!$R329</f>
        <v>-895166.79999999981</v>
      </c>
      <c r="AX341" s="28">
        <f>+S341-'[6]Приложение №1'!$S329</f>
        <v>386131.76</v>
      </c>
      <c r="AY341" s="28">
        <f>+T341-'[6]Приложение №1'!$T329</f>
        <v>2611305.6599999992</v>
      </c>
    </row>
    <row r="342" spans="1:51" x14ac:dyDescent="0.25">
      <c r="A342" s="137">
        <f t="shared" ref="A342:B342" si="125">+A341+1</f>
        <v>324</v>
      </c>
      <c r="B342" s="138">
        <f t="shared" si="125"/>
        <v>136</v>
      </c>
      <c r="C342" s="120" t="s">
        <v>51</v>
      </c>
      <c r="D342" s="120" t="s">
        <v>495</v>
      </c>
      <c r="E342" s="121">
        <v>1968</v>
      </c>
      <c r="F342" s="121">
        <v>2013</v>
      </c>
      <c r="G342" s="121" t="s">
        <v>43</v>
      </c>
      <c r="H342" s="121">
        <v>4</v>
      </c>
      <c r="I342" s="121">
        <v>3</v>
      </c>
      <c r="J342" s="107">
        <v>2488.5</v>
      </c>
      <c r="K342" s="107">
        <v>2348.1999999999998</v>
      </c>
      <c r="L342" s="107">
        <v>69.599999999999994</v>
      </c>
      <c r="M342" s="122">
        <v>56</v>
      </c>
      <c r="N342" s="133">
        <f t="shared" si="114"/>
        <v>1545862.696208</v>
      </c>
      <c r="O342" s="107"/>
      <c r="P342" s="108"/>
      <c r="Q342" s="108"/>
      <c r="R342" s="108"/>
      <c r="S342" s="108">
        <v>1545862.696208</v>
      </c>
      <c r="T342" s="107">
        <f>+'Приложение №2'!E342-'Приложение №1'!P342-'Приложение №1'!Q342-'Приложение №1'!R342-'Приложение №1'!S342</f>
        <v>0</v>
      </c>
      <c r="U342" s="108">
        <f t="shared" si="117"/>
        <v>639.36748126726786</v>
      </c>
      <c r="V342" s="108">
        <f t="shared" si="117"/>
        <v>639.36748126726786</v>
      </c>
      <c r="W342" s="135">
        <v>2023</v>
      </c>
      <c r="X342" s="28" t="e">
        <f>+#REF!-'[1]Приложение №1'!$P1315</f>
        <v>#REF!</v>
      </c>
      <c r="Z342" s="30">
        <f>SUM(AA342:AO342)</f>
        <v>5047649.354092991</v>
      </c>
      <c r="AA342" s="26">
        <v>0</v>
      </c>
      <c r="AB342" s="26">
        <v>2080965.3426794703</v>
      </c>
      <c r="AC342" s="26">
        <v>0</v>
      </c>
      <c r="AD342" s="26">
        <v>1397905.6390375202</v>
      </c>
      <c r="AE342" s="26">
        <v>1036272.8319720001</v>
      </c>
      <c r="AF342" s="26"/>
      <c r="AG342" s="26">
        <v>210866.25214200001</v>
      </c>
      <c r="AH342" s="26">
        <v>0</v>
      </c>
      <c r="AI342" s="26">
        <v>0</v>
      </c>
      <c r="AJ342" s="26">
        <v>0</v>
      </c>
      <c r="AK342" s="26">
        <v>0</v>
      </c>
      <c r="AL342" s="26">
        <v>0</v>
      </c>
      <c r="AM342" s="26">
        <v>173345.08000000002</v>
      </c>
      <c r="AN342" s="26">
        <v>44945.94</v>
      </c>
      <c r="AO342" s="32">
        <v>103348.268262</v>
      </c>
      <c r="AP342" s="77">
        <f>+N342-'Приложение №2'!E342</f>
        <v>0</v>
      </c>
      <c r="AQ342" s="1">
        <v>1248740.06</v>
      </c>
      <c r="AR342" s="1">
        <f t="shared" si="121"/>
        <v>253714.8</v>
      </c>
      <c r="AS342" s="1">
        <f>+(K342*10+L342*20)*12*30</f>
        <v>8954640</v>
      </c>
      <c r="AT342" s="28">
        <f t="shared" si="124"/>
        <v>-7408777.3037919998</v>
      </c>
      <c r="AU342" s="28">
        <f>+P342-'[6]Приложение №1'!$P330</f>
        <v>0</v>
      </c>
      <c r="AV342" s="28">
        <f>+Q342-'[6]Приложение №1'!$Q330</f>
        <v>0</v>
      </c>
      <c r="AW342" s="28">
        <f>+R342-'[6]Приложение №1'!$R330</f>
        <v>-3618454.07</v>
      </c>
      <c r="AX342" s="28">
        <f>+S342-'[6]Приложение №1'!$S330</f>
        <v>0</v>
      </c>
      <c r="AY342" s="28">
        <f>+T342-'[6]Приложение №1'!$T330</f>
        <v>0</v>
      </c>
    </row>
    <row r="343" spans="1:51" s="34" customFormat="1" x14ac:dyDescent="0.25">
      <c r="A343" s="137">
        <f t="shared" ref="A343:B343" si="126">+A342+1</f>
        <v>325</v>
      </c>
      <c r="B343" s="138">
        <f t="shared" si="126"/>
        <v>137</v>
      </c>
      <c r="C343" s="120" t="s">
        <v>51</v>
      </c>
      <c r="D343" s="120" t="s">
        <v>496</v>
      </c>
      <c r="E343" s="121" t="s">
        <v>107</v>
      </c>
      <c r="F343" s="121"/>
      <c r="G343" s="121" t="s">
        <v>43</v>
      </c>
      <c r="H343" s="121" t="s">
        <v>104</v>
      </c>
      <c r="I343" s="121" t="s">
        <v>101</v>
      </c>
      <c r="J343" s="107">
        <v>4831.3</v>
      </c>
      <c r="K343" s="107">
        <v>4321.7</v>
      </c>
      <c r="L343" s="107">
        <v>0</v>
      </c>
      <c r="M343" s="122">
        <v>196</v>
      </c>
      <c r="N343" s="133">
        <f t="shared" si="114"/>
        <v>2151481.9070239998</v>
      </c>
      <c r="O343" s="107">
        <v>0</v>
      </c>
      <c r="P343" s="108"/>
      <c r="Q343" s="108">
        <v>0</v>
      </c>
      <c r="R343" s="108">
        <f>+AQ343+AR343</f>
        <v>1333089.1699999997</v>
      </c>
      <c r="S343" s="108">
        <f>+'Приложение №2'!E343-'Приложение №1'!R343</f>
        <v>818392.73702400015</v>
      </c>
      <c r="T343" s="108">
        <v>0</v>
      </c>
      <c r="U343" s="107">
        <f t="shared" si="117"/>
        <v>497.83231298424232</v>
      </c>
      <c r="V343" s="107">
        <f t="shared" si="117"/>
        <v>497.83231298424232</v>
      </c>
      <c r="W343" s="135">
        <v>2023</v>
      </c>
      <c r="X343" s="34">
        <v>1600156.79</v>
      </c>
      <c r="Y343" s="34">
        <f>+(K343*9.1+L343*18.19)*12</f>
        <v>471929.6399999999</v>
      </c>
      <c r="AA343" s="35">
        <f>+N343-'[5]Приложение № 2'!E310</f>
        <v>858040.46702400013</v>
      </c>
      <c r="AD343" s="35">
        <f>+N343-'[5]Приложение № 2'!E310</f>
        <v>858040.46702400013</v>
      </c>
      <c r="AP343" s="77">
        <f>+N343-'Приложение №2'!E343</f>
        <v>0</v>
      </c>
      <c r="AQ343" s="34">
        <f>2071971.63-1179695.86</f>
        <v>892275.76999999979</v>
      </c>
      <c r="AR343" s="1">
        <f t="shared" si="121"/>
        <v>440813.39999999997</v>
      </c>
      <c r="AS343" s="1">
        <f>+(K343*10+L343*20)*12*30-1591931.69</f>
        <v>13966188.310000001</v>
      </c>
      <c r="AT343" s="28">
        <f t="shared" si="124"/>
        <v>-13147795.572976001</v>
      </c>
      <c r="AU343" s="28">
        <f>+P343-'[6]Приложение №1'!$P331</f>
        <v>-614563.23999999987</v>
      </c>
      <c r="AV343" s="28">
        <f>+Q343-'[6]Приложение №1'!$Q331</f>
        <v>0</v>
      </c>
      <c r="AW343" s="28">
        <f>+R343-'[6]Приложение №1'!$R331</f>
        <v>0</v>
      </c>
      <c r="AX343" s="28">
        <f>+S343-'[6]Приложение №1'!$S331</f>
        <v>0</v>
      </c>
      <c r="AY343" s="28">
        <f>+T343-'[6]Приложение №1'!$T331</f>
        <v>0</v>
      </c>
    </row>
    <row r="344" spans="1:51" s="34" customFormat="1" x14ac:dyDescent="0.25">
      <c r="A344" s="137">
        <f t="shared" ref="A344:B344" si="127">+A343+1</f>
        <v>326</v>
      </c>
      <c r="B344" s="138">
        <f t="shared" si="127"/>
        <v>138</v>
      </c>
      <c r="C344" s="120" t="s">
        <v>51</v>
      </c>
      <c r="D344" s="120" t="s">
        <v>497</v>
      </c>
      <c r="E344" s="121" t="s">
        <v>100</v>
      </c>
      <c r="F344" s="121"/>
      <c r="G344" s="121" t="s">
        <v>43</v>
      </c>
      <c r="H344" s="121" t="s">
        <v>104</v>
      </c>
      <c r="I344" s="121" t="s">
        <v>101</v>
      </c>
      <c r="J344" s="107">
        <v>4859.5</v>
      </c>
      <c r="K344" s="107">
        <v>4274.3</v>
      </c>
      <c r="L344" s="107">
        <v>0</v>
      </c>
      <c r="M344" s="122">
        <v>197</v>
      </c>
      <c r="N344" s="133">
        <f t="shared" si="114"/>
        <v>2154465.066112</v>
      </c>
      <c r="O344" s="107">
        <v>0</v>
      </c>
      <c r="P344" s="108"/>
      <c r="Q344" s="108">
        <v>0</v>
      </c>
      <c r="R344" s="108">
        <f>+'Приложение №2'!E344</f>
        <v>2154465.066112</v>
      </c>
      <c r="S344" s="108">
        <f>+'Приложение №2'!E344-'Приложение №1'!R344</f>
        <v>0</v>
      </c>
      <c r="T344" s="108">
        <v>0</v>
      </c>
      <c r="U344" s="107">
        <f t="shared" si="117"/>
        <v>504.05097117937436</v>
      </c>
      <c r="V344" s="107">
        <f t="shared" si="117"/>
        <v>504.05097117937436</v>
      </c>
      <c r="W344" s="135">
        <v>2023</v>
      </c>
      <c r="X344" s="34">
        <v>1625579.3</v>
      </c>
      <c r="Y344" s="34">
        <f>+(K344*9.1+L344*18.19)*12</f>
        <v>466753.55999999994</v>
      </c>
      <c r="AA344" s="35">
        <f>+N344-'[5]Приложение № 2'!E311</f>
        <v>1010441.4261120001</v>
      </c>
      <c r="AD344" s="35">
        <f>+N344-'[5]Приложение № 2'!E311</f>
        <v>1010441.4261120001</v>
      </c>
      <c r="AP344" s="77">
        <f>+N344-'Приложение №2'!E344</f>
        <v>0</v>
      </c>
      <c r="AQ344" s="34">
        <v>2094059.07</v>
      </c>
      <c r="AR344" s="1">
        <f t="shared" si="121"/>
        <v>435978.6</v>
      </c>
      <c r="AS344" s="1">
        <f>+(K344*10+L344*20)*12*30</f>
        <v>15387480</v>
      </c>
      <c r="AT344" s="28">
        <f t="shared" si="124"/>
        <v>-15387480</v>
      </c>
      <c r="AU344" s="28">
        <f>+P344-'[6]Приложение №1'!$P332</f>
        <v>0</v>
      </c>
      <c r="AV344" s="28">
        <f>+Q344-'[6]Приложение №1'!$Q332</f>
        <v>0</v>
      </c>
      <c r="AW344" s="28">
        <f>+R344-'[6]Приложение №1'!$R332</f>
        <v>0</v>
      </c>
      <c r="AX344" s="28">
        <f>+S344-'[6]Приложение №1'!$S332</f>
        <v>0</v>
      </c>
      <c r="AY344" s="28">
        <f>+T344-'[6]Приложение №1'!$T332</f>
        <v>0</v>
      </c>
    </row>
    <row r="345" spans="1:51" s="34" customFormat="1" x14ac:dyDescent="0.25">
      <c r="A345" s="137">
        <f t="shared" ref="A345:B345" si="128">+A344+1</f>
        <v>327</v>
      </c>
      <c r="B345" s="138">
        <f t="shared" si="128"/>
        <v>139</v>
      </c>
      <c r="C345" s="120" t="s">
        <v>51</v>
      </c>
      <c r="D345" s="120" t="s">
        <v>498</v>
      </c>
      <c r="E345" s="121" t="s">
        <v>120</v>
      </c>
      <c r="F345" s="121"/>
      <c r="G345" s="121" t="s">
        <v>43</v>
      </c>
      <c r="H345" s="121" t="s">
        <v>101</v>
      </c>
      <c r="I345" s="121" t="s">
        <v>101</v>
      </c>
      <c r="J345" s="107">
        <v>2960.3</v>
      </c>
      <c r="K345" s="107">
        <v>2725</v>
      </c>
      <c r="L345" s="107">
        <v>0</v>
      </c>
      <c r="M345" s="122">
        <v>121</v>
      </c>
      <c r="N345" s="133">
        <f t="shared" si="114"/>
        <v>17851669.850000001</v>
      </c>
      <c r="O345" s="107">
        <v>0</v>
      </c>
      <c r="P345" s="108">
        <v>2155250.5499999993</v>
      </c>
      <c r="Q345" s="108">
        <v>0</v>
      </c>
      <c r="R345" s="108">
        <f t="shared" ref="R345:R363" si="129">+AQ345+AR345</f>
        <v>1611087.2</v>
      </c>
      <c r="S345" s="108">
        <f>+AS345</f>
        <v>9810000</v>
      </c>
      <c r="T345" s="108">
        <f>+'Приложение №2'!E345-'Приложение №1'!P345-'Приложение №1'!Q345-'Приложение №1'!R345-'Приложение №1'!S345</f>
        <v>4275332.0999999996</v>
      </c>
      <c r="U345" s="107">
        <f t="shared" si="117"/>
        <v>6551.0715045871566</v>
      </c>
      <c r="V345" s="107">
        <f t="shared" si="117"/>
        <v>6551.0715045871566</v>
      </c>
      <c r="W345" s="135">
        <v>2023</v>
      </c>
      <c r="X345" s="34">
        <v>1033423.53</v>
      </c>
      <c r="Y345" s="34">
        <f>+(K345*9.1+L345*18.19)*12</f>
        <v>297570</v>
      </c>
      <c r="AA345" s="35">
        <f>+N345-'[5]Приложение № 2'!E312</f>
        <v>16505164.150000002</v>
      </c>
      <c r="AD345" s="35">
        <f>+N345-'[5]Приложение № 2'!E312</f>
        <v>16505164.150000002</v>
      </c>
      <c r="AP345" s="77">
        <f>+N345-'Приложение №2'!E345</f>
        <v>0</v>
      </c>
      <c r="AQ345" s="34">
        <v>1333137.2</v>
      </c>
      <c r="AR345" s="1">
        <f t="shared" si="121"/>
        <v>277950</v>
      </c>
      <c r="AS345" s="1">
        <f>+(K345*10+L345*20)*12*30</f>
        <v>9810000</v>
      </c>
      <c r="AT345" s="28">
        <f t="shared" si="124"/>
        <v>0</v>
      </c>
      <c r="AU345" s="28">
        <f>+P345-'[6]Приложение №1'!$P333</f>
        <v>0</v>
      </c>
      <c r="AV345" s="28">
        <f>+Q345-'[6]Приложение №1'!$Q333</f>
        <v>0</v>
      </c>
      <c r="AW345" s="28">
        <f>+R345-'[6]Приложение №1'!$R333</f>
        <v>0</v>
      </c>
      <c r="AX345" s="28">
        <f>+S345-'[6]Приложение №1'!$S333</f>
        <v>0</v>
      </c>
      <c r="AY345" s="28">
        <f>+T345-'[6]Приложение №1'!$T333</f>
        <v>0</v>
      </c>
    </row>
    <row r="346" spans="1:51" x14ac:dyDescent="0.25">
      <c r="A346" s="137">
        <f t="shared" ref="A346:B346" si="130">+A345+1</f>
        <v>328</v>
      </c>
      <c r="B346" s="138">
        <f t="shared" si="130"/>
        <v>140</v>
      </c>
      <c r="C346" s="120" t="s">
        <v>51</v>
      </c>
      <c r="D346" s="120" t="s">
        <v>450</v>
      </c>
      <c r="E346" s="121">
        <v>1975</v>
      </c>
      <c r="F346" s="121">
        <v>2013</v>
      </c>
      <c r="G346" s="121" t="s">
        <v>83</v>
      </c>
      <c r="H346" s="121">
        <v>4</v>
      </c>
      <c r="I346" s="121">
        <v>6</v>
      </c>
      <c r="J346" s="107">
        <v>5531.3</v>
      </c>
      <c r="K346" s="107">
        <v>4842.7</v>
      </c>
      <c r="L346" s="107">
        <v>189.7</v>
      </c>
      <c r="M346" s="122">
        <v>224</v>
      </c>
      <c r="N346" s="133">
        <f t="shared" si="114"/>
        <v>43610106.900000006</v>
      </c>
      <c r="O346" s="107"/>
      <c r="P346" s="108">
        <v>8083380.5966666685</v>
      </c>
      <c r="Q346" s="108"/>
      <c r="R346" s="108">
        <f t="shared" si="129"/>
        <v>2600624.41</v>
      </c>
      <c r="S346" s="108">
        <f>+AS346</f>
        <v>18799560</v>
      </c>
      <c r="T346" s="108">
        <f>+'Приложение №2'!E346-'Приложение №1'!P346-'Приложение №1'!Q346-'Приложение №1'!R346-'Приложение №1'!S346</f>
        <v>14126541.893333334</v>
      </c>
      <c r="U346" s="107">
        <f t="shared" si="117"/>
        <v>8665.8665646609988</v>
      </c>
      <c r="V346" s="107">
        <f t="shared" si="117"/>
        <v>8665.8665646609988</v>
      </c>
      <c r="W346" s="135">
        <v>2023</v>
      </c>
      <c r="X346" s="28" t="e">
        <f>+#REF!-'[1]Приложение №1'!$P1106</f>
        <v>#REF!</v>
      </c>
      <c r="Z346" s="30">
        <f t="shared" ref="Z346:Z363" si="131">SUM(AA346:AO346)</f>
        <v>87511152.000000015</v>
      </c>
      <c r="AA346" s="26">
        <v>8013494.3878080007</v>
      </c>
      <c r="AB346" s="26">
        <v>4634422.8779520001</v>
      </c>
      <c r="AC346" s="26">
        <v>4898928.1239359993</v>
      </c>
      <c r="AD346" s="26">
        <v>3735474.3417600002</v>
      </c>
      <c r="AE346" s="26">
        <v>1492245.5325120001</v>
      </c>
      <c r="AF346" s="26"/>
      <c r="AG346" s="26">
        <v>398188.42560000002</v>
      </c>
      <c r="AH346" s="26">
        <v>0</v>
      </c>
      <c r="AI346" s="26">
        <v>14265240.0912</v>
      </c>
      <c r="AJ346" s="26">
        <v>0</v>
      </c>
      <c r="AK346" s="26">
        <v>27696044.559456002</v>
      </c>
      <c r="AL346" s="26">
        <v>10892499.105599999</v>
      </c>
      <c r="AM346" s="26">
        <v>8946956.6400000006</v>
      </c>
      <c r="AN346" s="31">
        <v>875111.52</v>
      </c>
      <c r="AO346" s="32">
        <v>1662546.394176</v>
      </c>
      <c r="AP346" s="77">
        <f>+N346-'Приложение №2'!E346</f>
        <v>0</v>
      </c>
      <c r="AQ346" s="1">
        <f>2505054.36-114158.29-322925.86</f>
        <v>2067970.21</v>
      </c>
      <c r="AR346" s="1">
        <f t="shared" si="121"/>
        <v>532654.19999999995</v>
      </c>
      <c r="AS346" s="1">
        <f>+(K346*10+L346*20)*12*30</f>
        <v>18799560</v>
      </c>
      <c r="AT346" s="28">
        <f t="shared" si="124"/>
        <v>0</v>
      </c>
      <c r="AU346" s="28">
        <f>+P346-'[6]Приложение №1'!$P334</f>
        <v>0</v>
      </c>
      <c r="AV346" s="28">
        <f>+Q346-'[6]Приложение №1'!$Q334</f>
        <v>0</v>
      </c>
      <c r="AW346" s="28">
        <f>+R346-'[6]Приложение №1'!$R334</f>
        <v>0</v>
      </c>
      <c r="AX346" s="28">
        <f>+S346-'[6]Приложение №1'!$S334</f>
        <v>0</v>
      </c>
      <c r="AY346" s="28">
        <f>+T346-'[6]Приложение №1'!$T334</f>
        <v>0</v>
      </c>
    </row>
    <row r="347" spans="1:51" x14ac:dyDescent="0.25">
      <c r="A347" s="137">
        <f t="shared" ref="A347:B347" si="132">+A346+1</f>
        <v>329</v>
      </c>
      <c r="B347" s="138">
        <f t="shared" si="132"/>
        <v>141</v>
      </c>
      <c r="C347" s="120" t="s">
        <v>51</v>
      </c>
      <c r="D347" s="120" t="s">
        <v>451</v>
      </c>
      <c r="E347" s="121">
        <v>1974</v>
      </c>
      <c r="F347" s="121">
        <v>2013</v>
      </c>
      <c r="G347" s="121" t="s">
        <v>83</v>
      </c>
      <c r="H347" s="121">
        <v>4</v>
      </c>
      <c r="I347" s="121">
        <v>4</v>
      </c>
      <c r="J347" s="107">
        <v>3940.9</v>
      </c>
      <c r="K347" s="107">
        <v>3373.8</v>
      </c>
      <c r="L347" s="107">
        <v>212.7</v>
      </c>
      <c r="M347" s="122">
        <v>140</v>
      </c>
      <c r="N347" s="133">
        <f t="shared" si="114"/>
        <v>5731758.5462407395</v>
      </c>
      <c r="O347" s="107"/>
      <c r="P347" s="108">
        <f>+'Приложение №2'!E347-'Приложение №1'!S347</f>
        <v>3407178.5424814783</v>
      </c>
      <c r="Q347" s="108"/>
      <c r="R347" s="108">
        <f t="shared" si="129"/>
        <v>0</v>
      </c>
      <c r="S347" s="108">
        <f>+AS347</f>
        <v>2324580.0037592612</v>
      </c>
      <c r="T347" s="108"/>
      <c r="U347" s="107">
        <f t="shared" si="117"/>
        <v>1598.1482075117076</v>
      </c>
      <c r="V347" s="107">
        <f t="shared" si="117"/>
        <v>1598.1482075117076</v>
      </c>
      <c r="W347" s="135">
        <v>2023</v>
      </c>
      <c r="X347" s="28" t="e">
        <f>+#REF!-'[1]Приложение №1'!$P1306</f>
        <v>#REF!</v>
      </c>
      <c r="Z347" s="30">
        <f t="shared" si="131"/>
        <v>62533714.207893997</v>
      </c>
      <c r="AA347" s="26">
        <v>6056878.3300000001</v>
      </c>
      <c r="AB347" s="26">
        <v>3324136.3562038802</v>
      </c>
      <c r="AC347" s="26">
        <v>3513858.2605085401</v>
      </c>
      <c r="AD347" s="26">
        <v>2679346.7940094802</v>
      </c>
      <c r="AE347" s="26">
        <v>1070344.1973180603</v>
      </c>
      <c r="AF347" s="26"/>
      <c r="AG347" s="26">
        <v>285608.94385380001</v>
      </c>
      <c r="AH347" s="26">
        <v>0</v>
      </c>
      <c r="AI347" s="26">
        <v>10232040.652318798</v>
      </c>
      <c r="AJ347" s="26">
        <v>0</v>
      </c>
      <c r="AK347" s="26">
        <v>19865564.963811003</v>
      </c>
      <c r="AL347" s="26">
        <v>7812871.9105562996</v>
      </c>
      <c r="AM347" s="26">
        <v>5963728.8811999997</v>
      </c>
      <c r="AN347" s="31">
        <v>570673.40870000003</v>
      </c>
      <c r="AO347" s="32">
        <v>1158661.5094141401</v>
      </c>
      <c r="AP347" s="77">
        <f>+N347-'Приложение №2'!E347</f>
        <v>0</v>
      </c>
      <c r="AQ347" s="28">
        <f>1707386.79-112573.23-R132</f>
        <v>-387518.39999999991</v>
      </c>
      <c r="AR347" s="1">
        <f t="shared" si="121"/>
        <v>387518.39999999997</v>
      </c>
      <c r="AS347" s="1">
        <f>+(K347*10+L347*20)*12*30-810211.65-S132</f>
        <v>2324580.0037592612</v>
      </c>
      <c r="AT347" s="28">
        <f t="shared" si="124"/>
        <v>0</v>
      </c>
      <c r="AU347" s="28">
        <f>+P347-'[6]Приложение №1'!$P335</f>
        <v>3407178.5424814783</v>
      </c>
      <c r="AV347" s="28">
        <f>+Q347-'[6]Приложение №1'!$Q335</f>
        <v>0</v>
      </c>
      <c r="AW347" s="28">
        <f>+R347-'[6]Приложение №1'!$R335</f>
        <v>-1982331.96</v>
      </c>
      <c r="AX347" s="28">
        <f>+S347-'[6]Приложение №1'!$S335</f>
        <v>2103937.6175185214</v>
      </c>
      <c r="AY347" s="28">
        <f>+T347-'[6]Приложение №1'!$T335</f>
        <v>19054683.453304157</v>
      </c>
    </row>
    <row r="348" spans="1:51" x14ac:dyDescent="0.25">
      <c r="A348" s="137">
        <f t="shared" ref="A348:B348" si="133">+A347+1</f>
        <v>330</v>
      </c>
      <c r="B348" s="138">
        <f t="shared" si="133"/>
        <v>142</v>
      </c>
      <c r="C348" s="120" t="s">
        <v>51</v>
      </c>
      <c r="D348" s="120" t="s">
        <v>452</v>
      </c>
      <c r="E348" s="121">
        <v>1977</v>
      </c>
      <c r="F348" s="121">
        <v>2013</v>
      </c>
      <c r="G348" s="121" t="s">
        <v>43</v>
      </c>
      <c r="H348" s="121">
        <v>9</v>
      </c>
      <c r="I348" s="121">
        <v>1</v>
      </c>
      <c r="J348" s="107">
        <v>2362.6</v>
      </c>
      <c r="K348" s="107">
        <v>1902.4</v>
      </c>
      <c r="L348" s="107">
        <v>195.5</v>
      </c>
      <c r="M348" s="122">
        <v>72</v>
      </c>
      <c r="N348" s="123">
        <f t="shared" si="114"/>
        <v>5272961.0065099401</v>
      </c>
      <c r="O348" s="107"/>
      <c r="P348" s="108">
        <v>2967693.21</v>
      </c>
      <c r="Q348" s="108"/>
      <c r="R348" s="108">
        <v>312117.43999999994</v>
      </c>
      <c r="S348" s="108">
        <f>+'Приложение №2'!E348-'Приложение №1'!P348-'Приложение №1'!Q348-'Приложение №1'!R348</f>
        <v>1993150.3565099402</v>
      </c>
      <c r="T348" s="107">
        <f>+'Приложение №2'!E348-'Приложение №1'!P348-'Приложение №1'!Q348-'Приложение №1'!R348-'Приложение №1'!S348</f>
        <v>0</v>
      </c>
      <c r="U348" s="108">
        <f t="shared" si="117"/>
        <v>2513.4472598836646</v>
      </c>
      <c r="V348" s="108">
        <f t="shared" si="117"/>
        <v>2513.4472598836646</v>
      </c>
      <c r="W348" s="135">
        <v>2023</v>
      </c>
      <c r="X348" s="28" t="e">
        <f>+#REF!-'[1]Приложение №1'!$P948</f>
        <v>#REF!</v>
      </c>
      <c r="Z348" s="30">
        <f t="shared" si="131"/>
        <v>28501175.670387998</v>
      </c>
      <c r="AA348" s="26">
        <v>3719699.05</v>
      </c>
      <c r="AB348" s="26">
        <v>2447938.8995804396</v>
      </c>
      <c r="AC348" s="26">
        <v>1490138.3398477801</v>
      </c>
      <c r="AD348" s="26">
        <v>1344414.3471276001</v>
      </c>
      <c r="AE348" s="26">
        <v>490934.10601116001</v>
      </c>
      <c r="AF348" s="26"/>
      <c r="AG348" s="26">
        <v>205256.04442223997</v>
      </c>
      <c r="AH348" s="26">
        <v>0</v>
      </c>
      <c r="AI348" s="26">
        <v>0</v>
      </c>
      <c r="AJ348" s="26">
        <v>0</v>
      </c>
      <c r="AK348" s="26">
        <v>15105792.339437097</v>
      </c>
      <c r="AL348" s="26">
        <v>0</v>
      </c>
      <c r="AM348" s="26">
        <v>2953956.3437999999</v>
      </c>
      <c r="AN348" s="31">
        <v>246262.91500000001</v>
      </c>
      <c r="AO348" s="32">
        <v>496783.28516168008</v>
      </c>
      <c r="AP348" s="77">
        <f>+N348-'Приложение №2'!E348</f>
        <v>0</v>
      </c>
      <c r="AQ348" s="28">
        <f>1288619.08-658887.88-R133</f>
        <v>629731.20000000007</v>
      </c>
      <c r="AR348" s="1">
        <f>+(K348*13.29+L348*22.52)*12*0.85</f>
        <v>302792.67119999998</v>
      </c>
      <c r="AS348" s="1">
        <f>+(K348*13.29+L348*22.52)*12*30-8648.871-S133</f>
        <v>8860770.8324900605</v>
      </c>
      <c r="AT348" s="28">
        <f t="shared" si="124"/>
        <v>-6867620.4759801198</v>
      </c>
    </row>
    <row r="349" spans="1:51" x14ac:dyDescent="0.25">
      <c r="A349" s="137">
        <f t="shared" ref="A349:B361" si="134">+A348+1</f>
        <v>331</v>
      </c>
      <c r="B349" s="138">
        <f t="shared" si="134"/>
        <v>143</v>
      </c>
      <c r="C349" s="120" t="s">
        <v>51</v>
      </c>
      <c r="D349" s="120" t="s">
        <v>447</v>
      </c>
      <c r="E349" s="121">
        <v>1977</v>
      </c>
      <c r="F349" s="121">
        <v>2013</v>
      </c>
      <c r="G349" s="121" t="s">
        <v>43</v>
      </c>
      <c r="H349" s="121">
        <v>9</v>
      </c>
      <c r="I349" s="121">
        <v>1</v>
      </c>
      <c r="J349" s="107">
        <v>2365.9899999999998</v>
      </c>
      <c r="K349" s="107">
        <v>1903.5</v>
      </c>
      <c r="L349" s="107">
        <v>136</v>
      </c>
      <c r="M349" s="122">
        <v>70</v>
      </c>
      <c r="N349" s="123">
        <f t="shared" si="114"/>
        <v>5463977.5993955806</v>
      </c>
      <c r="O349" s="107"/>
      <c r="P349" s="108">
        <v>3041730.66</v>
      </c>
      <c r="Q349" s="108"/>
      <c r="R349" s="108"/>
      <c r="S349" s="108">
        <f>+'Приложение №2'!E349-'Приложение №1'!P349-'Приложение №1'!Q349-'Приложение №1'!R349</f>
        <v>2422246.9393955804</v>
      </c>
      <c r="T349" s="107">
        <f>+'Приложение №2'!E349-'Приложение №1'!P349-'Приложение №1'!Q349-'Приложение №1'!R349-'Приложение №1'!S349</f>
        <v>0</v>
      </c>
      <c r="U349" s="108">
        <f t="shared" si="117"/>
        <v>2679.0770283871443</v>
      </c>
      <c r="V349" s="108">
        <f t="shared" si="117"/>
        <v>2679.0770283871443</v>
      </c>
      <c r="W349" s="135">
        <v>2023</v>
      </c>
      <c r="X349" s="28" t="e">
        <f>+#REF!-'[1]Приложение №1'!$P950</f>
        <v>#REF!</v>
      </c>
      <c r="Z349" s="30">
        <f t="shared" si="131"/>
        <v>26854433.359999996</v>
      </c>
      <c r="AA349" s="26">
        <v>3681294.5645548799</v>
      </c>
      <c r="AB349" s="26">
        <v>2450899.70770344</v>
      </c>
      <c r="AC349" s="26">
        <v>0</v>
      </c>
      <c r="AD349" s="26">
        <v>1346040.4200070801</v>
      </c>
      <c r="AE349" s="26">
        <v>491527.90003842005</v>
      </c>
      <c r="AF349" s="26"/>
      <c r="AG349" s="26">
        <v>205504.30800059999</v>
      </c>
      <c r="AH349" s="26">
        <v>0</v>
      </c>
      <c r="AI349" s="26">
        <v>0</v>
      </c>
      <c r="AJ349" s="26">
        <v>0</v>
      </c>
      <c r="AK349" s="26">
        <v>15124062.916324738</v>
      </c>
      <c r="AL349" s="26">
        <v>0</v>
      </c>
      <c r="AM349" s="26">
        <v>2777050.0558000002</v>
      </c>
      <c r="AN349" s="31">
        <v>268544.33360000001</v>
      </c>
      <c r="AO349" s="32">
        <v>509509.15397084004</v>
      </c>
      <c r="AP349" s="77">
        <f>+N349-'Приложение №2'!E349</f>
        <v>0</v>
      </c>
      <c r="AQ349" s="3">
        <f>1333569.91-680973.2372-75663.69-R128</f>
        <v>398156.45340441982</v>
      </c>
      <c r="AR349" s="1">
        <f>+(K349*13.29+L349*22.52)*12*0.85</f>
        <v>289274.397</v>
      </c>
      <c r="AS349" s="1">
        <f>+(K349*13.29+L349*22.52)*12*30-6485.14-39928.49-S128</f>
        <v>9663087.5599999987</v>
      </c>
      <c r="AT349" s="28">
        <f t="shared" si="124"/>
        <v>-7240840.6206044182</v>
      </c>
    </row>
    <row r="350" spans="1:51" x14ac:dyDescent="0.25">
      <c r="A350" s="137">
        <f t="shared" si="134"/>
        <v>332</v>
      </c>
      <c r="B350" s="138">
        <f t="shared" si="134"/>
        <v>144</v>
      </c>
      <c r="C350" s="120" t="s">
        <v>51</v>
      </c>
      <c r="D350" s="120" t="s">
        <v>499</v>
      </c>
      <c r="E350" s="121">
        <v>1977</v>
      </c>
      <c r="F350" s="121">
        <v>2013</v>
      </c>
      <c r="G350" s="121" t="s">
        <v>43</v>
      </c>
      <c r="H350" s="121">
        <v>9</v>
      </c>
      <c r="I350" s="121">
        <v>1</v>
      </c>
      <c r="J350" s="107">
        <v>2366.89</v>
      </c>
      <c r="K350" s="107">
        <v>1904.8</v>
      </c>
      <c r="L350" s="107">
        <v>41.8</v>
      </c>
      <c r="M350" s="122">
        <v>59</v>
      </c>
      <c r="N350" s="123">
        <f t="shared" si="114"/>
        <v>6918791.5024397802</v>
      </c>
      <c r="O350" s="107"/>
      <c r="P350" s="108">
        <v>3841991.13</v>
      </c>
      <c r="Q350" s="108"/>
      <c r="R350" s="108">
        <v>228553.42</v>
      </c>
      <c r="S350" s="108">
        <f>+'Приложение №2'!E350-'Приложение №1'!P350-'Приложение №1'!R350</f>
        <v>2848246.9524397803</v>
      </c>
      <c r="T350" s="108">
        <f>+'Приложение №2'!E350-'Приложение №1'!P350-'Приложение №1'!Q350-'Приложение №1'!R350-'Приложение №1'!S350</f>
        <v>0</v>
      </c>
      <c r="U350" s="108">
        <f t="shared" si="117"/>
        <v>3554.2954394532931</v>
      </c>
      <c r="V350" s="108">
        <f t="shared" si="117"/>
        <v>3554.2954394532931</v>
      </c>
      <c r="W350" s="135">
        <v>2023</v>
      </c>
      <c r="X350" s="28" t="e">
        <f>+#REF!-'[1]Приложение №1'!$P951</f>
        <v>#REF!</v>
      </c>
      <c r="Z350" s="30">
        <f t="shared" si="131"/>
        <v>28541976.041246004</v>
      </c>
      <c r="AA350" s="26">
        <v>3719699.05</v>
      </c>
      <c r="AB350" s="26">
        <v>2452058.27684286</v>
      </c>
      <c r="AC350" s="26">
        <v>1492645.9296378</v>
      </c>
      <c r="AD350" s="26">
        <v>1346676.7170788401</v>
      </c>
      <c r="AE350" s="26">
        <v>491760.24805782002</v>
      </c>
      <c r="AF350" s="26"/>
      <c r="AG350" s="26">
        <v>205601.44794671997</v>
      </c>
      <c r="AH350" s="26">
        <v>0</v>
      </c>
      <c r="AI350" s="26">
        <v>0</v>
      </c>
      <c r="AJ350" s="26">
        <v>0</v>
      </c>
      <c r="AK350" s="26">
        <v>15131212.272876842</v>
      </c>
      <c r="AL350" s="26">
        <v>0</v>
      </c>
      <c r="AM350" s="26">
        <v>2959194.6140999999</v>
      </c>
      <c r="AN350" s="31">
        <v>245562.47510000001</v>
      </c>
      <c r="AO350" s="32">
        <v>497565.00960512011</v>
      </c>
      <c r="AP350" s="77">
        <f>+N350-'Приложение №2'!E350</f>
        <v>0</v>
      </c>
      <c r="AQ350" s="1">
        <f>1227927.06-726007.6004</f>
        <v>501919.45960000006</v>
      </c>
      <c r="AR350" s="1">
        <f>+(K350*13.29+L350*22.52)*12*0.85</f>
        <v>267812.50559999997</v>
      </c>
      <c r="AS350" s="1">
        <f>+(K350*13.29+L350*22.52)*12*30-9115.31</f>
        <v>9443090.7699999977</v>
      </c>
      <c r="AT350" s="28">
        <f t="shared" si="124"/>
        <v>-6594843.8175602173</v>
      </c>
    </row>
    <row r="351" spans="1:51" x14ac:dyDescent="0.25">
      <c r="A351" s="137">
        <f t="shared" si="134"/>
        <v>333</v>
      </c>
      <c r="B351" s="138">
        <f t="shared" si="134"/>
        <v>145</v>
      </c>
      <c r="C351" s="120" t="s">
        <v>63</v>
      </c>
      <c r="D351" s="120" t="s">
        <v>567</v>
      </c>
      <c r="E351" s="121">
        <v>1985</v>
      </c>
      <c r="F351" s="121">
        <v>1985</v>
      </c>
      <c r="G351" s="121" t="s">
        <v>43</v>
      </c>
      <c r="H351" s="121">
        <v>2</v>
      </c>
      <c r="I351" s="121">
        <v>2</v>
      </c>
      <c r="J351" s="107">
        <v>914.7</v>
      </c>
      <c r="K351" s="107">
        <v>845.7</v>
      </c>
      <c r="L351" s="107">
        <v>0</v>
      </c>
      <c r="M351" s="122">
        <v>33</v>
      </c>
      <c r="N351" s="133">
        <f t="shared" si="114"/>
        <v>5484113.5199999996</v>
      </c>
      <c r="O351" s="107"/>
      <c r="P351" s="108">
        <v>1932870.1700000009</v>
      </c>
      <c r="Q351" s="108"/>
      <c r="R351" s="108">
        <f t="shared" si="129"/>
        <v>515460.06999999995</v>
      </c>
      <c r="S351" s="108">
        <f>+'Приложение №2'!E351-'Приложение №1'!R351-P351</f>
        <v>3035783.2799999993</v>
      </c>
      <c r="T351" s="108">
        <v>0</v>
      </c>
      <c r="U351" s="107">
        <f t="shared" si="117"/>
        <v>6484.703228095068</v>
      </c>
      <c r="V351" s="107">
        <f t="shared" si="117"/>
        <v>6484.703228095068</v>
      </c>
      <c r="W351" s="135">
        <v>2023</v>
      </c>
      <c r="X351" s="28" t="e">
        <f>+#REF!-'[1]Приложение №1'!$P1120</f>
        <v>#REF!</v>
      </c>
      <c r="Z351" s="30">
        <f t="shared" si="131"/>
        <v>6296342.7100000009</v>
      </c>
      <c r="AA351" s="26">
        <v>2467275.9651212404</v>
      </c>
      <c r="AB351" s="26">
        <v>1501302.4198296599</v>
      </c>
      <c r="AC351" s="26">
        <v>707414.26194726001</v>
      </c>
      <c r="AD351" s="26">
        <v>602877.17677656002</v>
      </c>
      <c r="AE351" s="26">
        <v>0</v>
      </c>
      <c r="AF351" s="26"/>
      <c r="AG351" s="26">
        <v>262232.90488164005</v>
      </c>
      <c r="AH351" s="26">
        <v>0</v>
      </c>
      <c r="AI351" s="26">
        <v>0</v>
      </c>
      <c r="AJ351" s="26">
        <v>0</v>
      </c>
      <c r="AK351" s="26">
        <v>0</v>
      </c>
      <c r="AL351" s="26">
        <v>0</v>
      </c>
      <c r="AM351" s="26">
        <v>571103.86029999994</v>
      </c>
      <c r="AN351" s="31">
        <v>62963.427100000008</v>
      </c>
      <c r="AO351" s="32">
        <v>121172.69404364003</v>
      </c>
      <c r="AP351" s="77">
        <f>+N351-'Приложение №2'!E351</f>
        <v>0</v>
      </c>
      <c r="AQ351" s="33">
        <v>429198.67</v>
      </c>
      <c r="AR351" s="1">
        <f t="shared" si="121"/>
        <v>86261.4</v>
      </c>
      <c r="AS351" s="1">
        <f t="shared" ref="AS351:AS356" si="135">+(K351*10+L351*20)*12*30</f>
        <v>3044520</v>
      </c>
      <c r="AT351" s="28">
        <f t="shared" si="124"/>
        <v>-8736.7200000006706</v>
      </c>
      <c r="AU351" s="28">
        <f>+P351-'[6]Приложение №1'!$P337</f>
        <v>0</v>
      </c>
      <c r="AV351" s="28">
        <f>+Q351-'[6]Приложение №1'!$Q337</f>
        <v>0</v>
      </c>
      <c r="AW351" s="28">
        <f>+R351-'[6]Приложение №1'!$R337</f>
        <v>0</v>
      </c>
      <c r="AX351" s="28">
        <f>+S351-'[6]Приложение №1'!$S337</f>
        <v>0</v>
      </c>
      <c r="AY351" s="28">
        <f>+T351-'[6]Приложение №1'!$T337</f>
        <v>0</v>
      </c>
    </row>
    <row r="352" spans="1:51" x14ac:dyDescent="0.25">
      <c r="A352" s="137">
        <f t="shared" si="134"/>
        <v>334</v>
      </c>
      <c r="B352" s="138">
        <f t="shared" si="134"/>
        <v>146</v>
      </c>
      <c r="C352" s="120" t="s">
        <v>63</v>
      </c>
      <c r="D352" s="120" t="s">
        <v>568</v>
      </c>
      <c r="E352" s="121">
        <v>1985</v>
      </c>
      <c r="F352" s="121">
        <v>2009</v>
      </c>
      <c r="G352" s="121" t="s">
        <v>43</v>
      </c>
      <c r="H352" s="121">
        <v>2</v>
      </c>
      <c r="I352" s="121">
        <v>3</v>
      </c>
      <c r="J352" s="107">
        <v>1493.5</v>
      </c>
      <c r="K352" s="107">
        <v>1376.8</v>
      </c>
      <c r="L352" s="107">
        <v>0</v>
      </c>
      <c r="M352" s="122">
        <v>60</v>
      </c>
      <c r="N352" s="133">
        <f t="shared" si="114"/>
        <v>10279133.729999999</v>
      </c>
      <c r="O352" s="107"/>
      <c r="P352" s="108">
        <v>1491506.5999999996</v>
      </c>
      <c r="Q352" s="108"/>
      <c r="R352" s="108">
        <f t="shared" si="129"/>
        <v>848133.92999999993</v>
      </c>
      <c r="S352" s="108">
        <f>+AS352</f>
        <v>4956480</v>
      </c>
      <c r="T352" s="108">
        <f>+'Приложение №2'!E352-'Приложение №1'!P352-'Приложение №1'!Q352-'Приложение №1'!R352-'Приложение №1'!S352</f>
        <v>2983013.1999999993</v>
      </c>
      <c r="U352" s="107">
        <f t="shared" si="117"/>
        <v>7465.9600014526432</v>
      </c>
      <c r="V352" s="107">
        <f t="shared" si="117"/>
        <v>7465.9600014526432</v>
      </c>
      <c r="W352" s="135">
        <v>2023</v>
      </c>
      <c r="X352" s="28" t="e">
        <f>+#REF!-'[1]Приложение №1'!$P1515</f>
        <v>#REF!</v>
      </c>
      <c r="Z352" s="30">
        <f t="shared" si="131"/>
        <v>10279133.73</v>
      </c>
      <c r="AA352" s="26">
        <v>4027966.8255372001</v>
      </c>
      <c r="AB352" s="26">
        <v>2450960.6744834399</v>
      </c>
      <c r="AC352" s="26">
        <v>1154893.5828968999</v>
      </c>
      <c r="AD352" s="26">
        <v>984230.91881016002</v>
      </c>
      <c r="AE352" s="26">
        <v>0</v>
      </c>
      <c r="AF352" s="26"/>
      <c r="AG352" s="26">
        <v>428109.96493607998</v>
      </c>
      <c r="AH352" s="26">
        <v>0</v>
      </c>
      <c r="AI352" s="26">
        <v>0</v>
      </c>
      <c r="AJ352" s="26">
        <v>0</v>
      </c>
      <c r="AK352" s="26">
        <v>0</v>
      </c>
      <c r="AL352" s="26">
        <v>0</v>
      </c>
      <c r="AM352" s="26">
        <v>932359.18539999996</v>
      </c>
      <c r="AN352" s="31">
        <v>102791.33730000001</v>
      </c>
      <c r="AO352" s="32">
        <v>197821.24063622003</v>
      </c>
      <c r="AP352" s="77">
        <f>+N352-'Приложение №2'!E352</f>
        <v>0</v>
      </c>
      <c r="AQ352" s="33">
        <v>707700.33</v>
      </c>
      <c r="AR352" s="1">
        <f t="shared" si="121"/>
        <v>140433.60000000001</v>
      </c>
      <c r="AS352" s="1">
        <f t="shared" si="135"/>
        <v>4956480</v>
      </c>
      <c r="AT352" s="28">
        <f t="shared" si="124"/>
        <v>0</v>
      </c>
      <c r="AU352" s="28">
        <f>+P352-'[6]Приложение №1'!$P338</f>
        <v>0</v>
      </c>
      <c r="AV352" s="28">
        <f>+Q352-'[6]Приложение №1'!$Q338</f>
        <v>0</v>
      </c>
      <c r="AW352" s="28">
        <f>+R352-'[6]Приложение №1'!$R338</f>
        <v>0</v>
      </c>
      <c r="AX352" s="28">
        <f>+S352-'[6]Приложение №1'!$S338</f>
        <v>0</v>
      </c>
      <c r="AY352" s="28">
        <f>+T352-'[6]Приложение №1'!$T338</f>
        <v>0</v>
      </c>
    </row>
    <row r="353" spans="1:51" x14ac:dyDescent="0.25">
      <c r="A353" s="137">
        <f t="shared" si="134"/>
        <v>335</v>
      </c>
      <c r="B353" s="138">
        <f t="shared" si="134"/>
        <v>147</v>
      </c>
      <c r="C353" s="120" t="s">
        <v>63</v>
      </c>
      <c r="D353" s="120" t="s">
        <v>569</v>
      </c>
      <c r="E353" s="121">
        <v>1975</v>
      </c>
      <c r="F353" s="121">
        <v>1975</v>
      </c>
      <c r="G353" s="121" t="s">
        <v>43</v>
      </c>
      <c r="H353" s="121">
        <v>2</v>
      </c>
      <c r="I353" s="121">
        <v>2</v>
      </c>
      <c r="J353" s="107">
        <v>785.47</v>
      </c>
      <c r="K353" s="107">
        <v>729.06</v>
      </c>
      <c r="L353" s="107">
        <v>0</v>
      </c>
      <c r="M353" s="122">
        <v>32</v>
      </c>
      <c r="N353" s="133">
        <f t="shared" si="114"/>
        <v>5796292.5199999996</v>
      </c>
      <c r="O353" s="107"/>
      <c r="P353" s="108">
        <f>+'Приложение №2'!E353-'Приложение №1'!R353-'Приложение №1'!S353</f>
        <v>2735629.5699999994</v>
      </c>
      <c r="Q353" s="108"/>
      <c r="R353" s="108">
        <f t="shared" si="129"/>
        <v>436046.95</v>
      </c>
      <c r="S353" s="108">
        <f>+AS353</f>
        <v>2624616</v>
      </c>
      <c r="T353" s="108">
        <v>0</v>
      </c>
      <c r="U353" s="107">
        <f t="shared" si="117"/>
        <v>7950.3641949908097</v>
      </c>
      <c r="V353" s="107">
        <f t="shared" si="117"/>
        <v>7950.3641949908097</v>
      </c>
      <c r="W353" s="135">
        <v>2023</v>
      </c>
      <c r="X353" s="28" t="e">
        <f>+#REF!-'[1]Приложение №1'!$P1516</f>
        <v>#REF!</v>
      </c>
      <c r="Z353" s="30">
        <f t="shared" si="131"/>
        <v>5796292.5199999996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/>
      <c r="AG353" s="26">
        <v>0</v>
      </c>
      <c r="AH353" s="26">
        <v>0</v>
      </c>
      <c r="AI353" s="26">
        <v>0</v>
      </c>
      <c r="AJ353" s="26">
        <v>0</v>
      </c>
      <c r="AK353" s="26">
        <v>5048304.1554640792</v>
      </c>
      <c r="AL353" s="26">
        <v>0</v>
      </c>
      <c r="AM353" s="26">
        <v>579629.25199999998</v>
      </c>
      <c r="AN353" s="31">
        <v>57962.925199999998</v>
      </c>
      <c r="AO353" s="32">
        <v>110396.18733591998</v>
      </c>
      <c r="AP353" s="77">
        <f>+N353-'Приложение №2'!E353</f>
        <v>0</v>
      </c>
      <c r="AQ353" s="33">
        <v>361682.83</v>
      </c>
      <c r="AR353" s="1">
        <f t="shared" si="121"/>
        <v>74364.12</v>
      </c>
      <c r="AS353" s="1">
        <f t="shared" si="135"/>
        <v>2624616</v>
      </c>
      <c r="AT353" s="28">
        <f t="shared" si="124"/>
        <v>0</v>
      </c>
      <c r="AU353" s="28">
        <f>+P353-'[6]Приложение №1'!$P339</f>
        <v>0</v>
      </c>
      <c r="AV353" s="28">
        <f>+Q353-'[6]Приложение №1'!$Q339</f>
        <v>0</v>
      </c>
      <c r="AW353" s="28">
        <f>+R353-'[6]Приложение №1'!$R339</f>
        <v>0</v>
      </c>
      <c r="AX353" s="28">
        <f>+S353-'[6]Приложение №1'!$S339</f>
        <v>0</v>
      </c>
      <c r="AY353" s="28">
        <f>+T353-'[6]Приложение №1'!$T339</f>
        <v>0</v>
      </c>
    </row>
    <row r="354" spans="1:51" x14ac:dyDescent="0.25">
      <c r="A354" s="137">
        <f t="shared" si="134"/>
        <v>336</v>
      </c>
      <c r="B354" s="138">
        <f t="shared" si="134"/>
        <v>148</v>
      </c>
      <c r="C354" s="120" t="s">
        <v>54</v>
      </c>
      <c r="D354" s="120" t="s">
        <v>231</v>
      </c>
      <c r="E354" s="121">
        <v>1989</v>
      </c>
      <c r="F354" s="121">
        <v>1989</v>
      </c>
      <c r="G354" s="121" t="s">
        <v>43</v>
      </c>
      <c r="H354" s="121">
        <v>2</v>
      </c>
      <c r="I354" s="121">
        <v>2</v>
      </c>
      <c r="J354" s="107">
        <v>915</v>
      </c>
      <c r="K354" s="107">
        <v>892.81</v>
      </c>
      <c r="L354" s="107">
        <v>0</v>
      </c>
      <c r="M354" s="122">
        <v>32</v>
      </c>
      <c r="N354" s="123">
        <f t="shared" si="114"/>
        <v>8034936.8781600017</v>
      </c>
      <c r="O354" s="107"/>
      <c r="P354" s="108">
        <v>1628827.3633333335</v>
      </c>
      <c r="Q354" s="108"/>
      <c r="R354" s="108">
        <v>458392.32000000001</v>
      </c>
      <c r="S354" s="108">
        <v>3214115.9999999995</v>
      </c>
      <c r="T354" s="107">
        <f>+'Приложение №2'!E354-'Приложение №1'!P354-'Приложение №1'!R354-'Приложение №1'!S354</f>
        <v>2733601.1948266677</v>
      </c>
      <c r="U354" s="108">
        <f t="shared" si="117"/>
        <v>8999.6044826558864</v>
      </c>
      <c r="V354" s="108">
        <f t="shared" si="117"/>
        <v>8999.6044826558864</v>
      </c>
      <c r="W354" s="135">
        <v>2023</v>
      </c>
      <c r="X354" s="28" t="e">
        <f>+#REF!-'[1]Приложение №1'!$P1351</f>
        <v>#REF!</v>
      </c>
      <c r="Z354" s="30">
        <f t="shared" si="131"/>
        <v>8546292.5500000007</v>
      </c>
      <c r="AA354" s="26">
        <v>0</v>
      </c>
      <c r="AB354" s="26">
        <v>0</v>
      </c>
      <c r="AC354" s="26">
        <v>0</v>
      </c>
      <c r="AD354" s="26">
        <v>0</v>
      </c>
      <c r="AE354" s="26">
        <v>0</v>
      </c>
      <c r="AF354" s="26"/>
      <c r="AG354" s="26">
        <v>0</v>
      </c>
      <c r="AH354" s="26">
        <v>0</v>
      </c>
      <c r="AI354" s="26">
        <v>7527061.7004870009</v>
      </c>
      <c r="AJ354" s="26">
        <v>0</v>
      </c>
      <c r="AK354" s="26">
        <v>0</v>
      </c>
      <c r="AL354" s="26">
        <v>0</v>
      </c>
      <c r="AM354" s="26">
        <v>769166.32949999999</v>
      </c>
      <c r="AN354" s="31">
        <v>85462.925500000012</v>
      </c>
      <c r="AO354" s="32">
        <v>164601.59451300002</v>
      </c>
      <c r="AP354" s="77">
        <f>+N354-'Приложение №2'!E354</f>
        <v>0</v>
      </c>
      <c r="AQ354" s="1">
        <v>367325.7</v>
      </c>
      <c r="AR354" s="1">
        <f t="shared" si="121"/>
        <v>91066.619999999981</v>
      </c>
      <c r="AS354" s="1">
        <f t="shared" si="135"/>
        <v>3214115.9999999995</v>
      </c>
      <c r="AT354" s="28">
        <f t="shared" si="124"/>
        <v>0</v>
      </c>
    </row>
    <row r="355" spans="1:51" x14ac:dyDescent="0.25">
      <c r="A355" s="137">
        <f t="shared" si="134"/>
        <v>337</v>
      </c>
      <c r="B355" s="138">
        <f t="shared" si="134"/>
        <v>149</v>
      </c>
      <c r="C355" s="120" t="s">
        <v>54</v>
      </c>
      <c r="D355" s="120" t="s">
        <v>576</v>
      </c>
      <c r="E355" s="121">
        <v>1989</v>
      </c>
      <c r="F355" s="121">
        <v>1989</v>
      </c>
      <c r="G355" s="121" t="s">
        <v>43</v>
      </c>
      <c r="H355" s="121">
        <v>3</v>
      </c>
      <c r="I355" s="121">
        <v>2</v>
      </c>
      <c r="J355" s="107">
        <v>1225.2</v>
      </c>
      <c r="K355" s="107">
        <v>861.78</v>
      </c>
      <c r="L355" s="107">
        <v>363.42</v>
      </c>
      <c r="M355" s="122">
        <v>38</v>
      </c>
      <c r="N355" s="133">
        <f t="shared" si="114"/>
        <v>4448664.1270599999</v>
      </c>
      <c r="O355" s="107"/>
      <c r="P355" s="108">
        <v>1136928.2899999998</v>
      </c>
      <c r="Q355" s="108"/>
      <c r="R355" s="108">
        <f t="shared" si="129"/>
        <v>496995.11</v>
      </c>
      <c r="S355" s="108">
        <f>+'Приложение №2'!E355-'Приложение №1'!P355-'Приложение №1'!Q355-'Приложение №1'!R355</f>
        <v>2814740.7270599999</v>
      </c>
      <c r="T355" s="107">
        <f>+'Приложение №2'!E355-'Приложение №1'!P355-'Приложение №1'!Q355-'Приложение №1'!R355-'Приложение №1'!S355</f>
        <v>0</v>
      </c>
      <c r="U355" s="108">
        <f t="shared" si="117"/>
        <v>3630.9697413157032</v>
      </c>
      <c r="V355" s="108">
        <f t="shared" si="117"/>
        <v>3630.9697413157032</v>
      </c>
      <c r="W355" s="135">
        <v>2023</v>
      </c>
      <c r="X355" s="28" t="e">
        <f>+#REF!-'[1]Приложение №1'!$P1134</f>
        <v>#REF!</v>
      </c>
      <c r="Z355" s="30">
        <f t="shared" si="131"/>
        <v>8281653.2599999998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/>
      <c r="AG355" s="26">
        <v>0</v>
      </c>
      <c r="AH355" s="26">
        <v>0</v>
      </c>
      <c r="AI355" s="26">
        <v>7293983.2922124006</v>
      </c>
      <c r="AJ355" s="26">
        <v>0</v>
      </c>
      <c r="AK355" s="26">
        <v>0</v>
      </c>
      <c r="AL355" s="26">
        <v>0</v>
      </c>
      <c r="AM355" s="26">
        <v>745348.79339999997</v>
      </c>
      <c r="AN355" s="31">
        <v>82816.532600000006</v>
      </c>
      <c r="AO355" s="32">
        <v>159504.64178760001</v>
      </c>
      <c r="AP355" s="77">
        <f>+N355-'Приложение №2'!E355</f>
        <v>0</v>
      </c>
      <c r="AQ355" s="1">
        <v>334955.87</v>
      </c>
      <c r="AR355" s="1">
        <f t="shared" si="121"/>
        <v>162039.24000000002</v>
      </c>
      <c r="AS355" s="1">
        <f t="shared" si="135"/>
        <v>5719032.0000000009</v>
      </c>
      <c r="AT355" s="28">
        <f t="shared" si="124"/>
        <v>-2904291.272940001</v>
      </c>
      <c r="AU355" s="28">
        <f>+P355-'[6]Приложение №1'!$P340</f>
        <v>0</v>
      </c>
      <c r="AV355" s="28">
        <f>+Q355-'[6]Приложение №1'!$Q340</f>
        <v>0</v>
      </c>
      <c r="AW355" s="28">
        <f>+R355-'[6]Приложение №1'!$R340</f>
        <v>0</v>
      </c>
      <c r="AX355" s="28">
        <f>+S355-'[6]Приложение №1'!$S340</f>
        <v>0</v>
      </c>
      <c r="AY355" s="28">
        <f>+T355-'[6]Приложение №1'!$T340</f>
        <v>0</v>
      </c>
    </row>
    <row r="356" spans="1:51" x14ac:dyDescent="0.25">
      <c r="A356" s="137">
        <f t="shared" si="134"/>
        <v>338</v>
      </c>
      <c r="B356" s="138">
        <f t="shared" si="134"/>
        <v>150</v>
      </c>
      <c r="C356" s="120" t="s">
        <v>54</v>
      </c>
      <c r="D356" s="120" t="s">
        <v>212</v>
      </c>
      <c r="E356" s="121">
        <v>1984</v>
      </c>
      <c r="F356" s="121">
        <v>2009</v>
      </c>
      <c r="G356" s="121" t="s">
        <v>43</v>
      </c>
      <c r="H356" s="121">
        <v>2</v>
      </c>
      <c r="I356" s="121">
        <v>2</v>
      </c>
      <c r="J356" s="107">
        <v>1164.7</v>
      </c>
      <c r="K356" s="107">
        <v>745.9</v>
      </c>
      <c r="L356" s="107">
        <v>304.10000000000002</v>
      </c>
      <c r="M356" s="122">
        <v>37</v>
      </c>
      <c r="N356" s="133">
        <f t="shared" si="114"/>
        <v>11230594.252708003</v>
      </c>
      <c r="O356" s="107"/>
      <c r="P356" s="108">
        <v>2329938.9142360003</v>
      </c>
      <c r="Q356" s="108"/>
      <c r="R356" s="108">
        <f t="shared" si="129"/>
        <v>535849.51</v>
      </c>
      <c r="S356" s="108">
        <f>+AS356</f>
        <v>4874760</v>
      </c>
      <c r="T356" s="108">
        <f>+'Приложение №2'!E356-'Приложение №1'!P356-'Приложение №1'!Q356-'Приложение №1'!R356-'Приложение №1'!S356</f>
        <v>3490045.8284720015</v>
      </c>
      <c r="U356" s="107">
        <f t="shared" si="117"/>
        <v>10695.804050198098</v>
      </c>
      <c r="V356" s="107">
        <f t="shared" si="117"/>
        <v>10695.804050198098</v>
      </c>
      <c r="W356" s="135">
        <v>2023</v>
      </c>
      <c r="X356" s="28" t="e">
        <f>+#REF!-'[1]Приложение №1'!$P1524</f>
        <v>#REF!</v>
      </c>
      <c r="Z356" s="30">
        <f t="shared" si="131"/>
        <v>12533218.82</v>
      </c>
      <c r="AA356" s="26">
        <v>2147390.7974610003</v>
      </c>
      <c r="AB356" s="26">
        <v>1306656.8383722</v>
      </c>
      <c r="AC356" s="26">
        <v>615697.18809396005</v>
      </c>
      <c r="AD356" s="26">
        <v>524713.46015088004</v>
      </c>
      <c r="AE356" s="26">
        <v>0</v>
      </c>
      <c r="AF356" s="26"/>
      <c r="AG356" s="26">
        <v>228234.10595495999</v>
      </c>
      <c r="AH356" s="26">
        <v>0</v>
      </c>
      <c r="AI356" s="26">
        <v>6212039.0494932001</v>
      </c>
      <c r="AJ356" s="26">
        <v>0</v>
      </c>
      <c r="AK356" s="26">
        <v>0</v>
      </c>
      <c r="AL356" s="26">
        <v>0</v>
      </c>
      <c r="AM356" s="26">
        <v>1131847.9648</v>
      </c>
      <c r="AN356" s="31">
        <v>125332.1882</v>
      </c>
      <c r="AO356" s="32">
        <v>241307.22747379998</v>
      </c>
      <c r="AP356" s="77">
        <f>+N356-'Приложение №2'!E356</f>
        <v>0</v>
      </c>
      <c r="AQ356" s="1">
        <v>397731.31</v>
      </c>
      <c r="AR356" s="1">
        <f t="shared" si="121"/>
        <v>138118.19999999998</v>
      </c>
      <c r="AS356" s="1">
        <f t="shared" si="135"/>
        <v>4874760</v>
      </c>
      <c r="AT356" s="28">
        <f t="shared" si="124"/>
        <v>0</v>
      </c>
      <c r="AU356" s="28">
        <f>+P356-'[6]Приложение №1'!$P341</f>
        <v>0</v>
      </c>
      <c r="AV356" s="28">
        <f>+Q356-'[6]Приложение №1'!$Q341</f>
        <v>0</v>
      </c>
      <c r="AW356" s="28">
        <f>+R356-'[6]Приложение №1'!$R341</f>
        <v>0</v>
      </c>
      <c r="AX356" s="28">
        <f>+S356-'[6]Приложение №1'!$S341</f>
        <v>0</v>
      </c>
      <c r="AY356" s="28">
        <f>+T356-'[6]Приложение №1'!$T341</f>
        <v>0</v>
      </c>
    </row>
    <row r="357" spans="1:51" x14ac:dyDescent="0.25">
      <c r="A357" s="137">
        <f t="shared" si="134"/>
        <v>339</v>
      </c>
      <c r="B357" s="138">
        <f t="shared" si="134"/>
        <v>151</v>
      </c>
      <c r="C357" s="120" t="s">
        <v>54</v>
      </c>
      <c r="D357" s="120" t="s">
        <v>571</v>
      </c>
      <c r="E357" s="121">
        <v>1976</v>
      </c>
      <c r="F357" s="121">
        <v>2008</v>
      </c>
      <c r="G357" s="121" t="s">
        <v>43</v>
      </c>
      <c r="H357" s="121">
        <v>4</v>
      </c>
      <c r="I357" s="121">
        <v>4</v>
      </c>
      <c r="J357" s="107">
        <v>4257.32</v>
      </c>
      <c r="K357" s="107">
        <v>3128.38</v>
      </c>
      <c r="L357" s="107">
        <v>991.08</v>
      </c>
      <c r="M357" s="122">
        <v>124</v>
      </c>
      <c r="N357" s="133">
        <f t="shared" si="114"/>
        <v>3488921.0602397402</v>
      </c>
      <c r="O357" s="107"/>
      <c r="P357" s="108"/>
      <c r="Q357" s="108"/>
      <c r="R357" s="108">
        <f t="shared" si="129"/>
        <v>0</v>
      </c>
      <c r="S357" s="108">
        <f>+'Приложение №2'!E357-'Приложение №1'!R357</f>
        <v>3488921.0602397402</v>
      </c>
      <c r="T357" s="108">
        <v>0</v>
      </c>
      <c r="U357" s="107">
        <f t="shared" si="117"/>
        <v>846.9365062993063</v>
      </c>
      <c r="V357" s="107">
        <f t="shared" si="117"/>
        <v>846.9365062993063</v>
      </c>
      <c r="W357" s="135">
        <v>2023</v>
      </c>
      <c r="X357" s="28" t="e">
        <f>+#REF!-'[1]Приложение №1'!$P752</f>
        <v>#REF!</v>
      </c>
      <c r="Z357" s="30">
        <f t="shared" si="131"/>
        <v>16411728.570000004</v>
      </c>
      <c r="AA357" s="26">
        <v>7185234.1705489811</v>
      </c>
      <c r="AB357" s="26">
        <v>2542217.2836664799</v>
      </c>
      <c r="AC357" s="26">
        <v>0</v>
      </c>
      <c r="AD357" s="26">
        <v>1662855.463857</v>
      </c>
      <c r="AE357" s="26">
        <v>2127796.9824119406</v>
      </c>
      <c r="AF357" s="26"/>
      <c r="AG357" s="26">
        <v>285097.02429768001</v>
      </c>
      <c r="AH357" s="26">
        <v>0</v>
      </c>
      <c r="AI357" s="26">
        <v>0</v>
      </c>
      <c r="AJ357" s="26">
        <v>0</v>
      </c>
      <c r="AK357" s="26">
        <v>0</v>
      </c>
      <c r="AL357" s="26">
        <v>0</v>
      </c>
      <c r="AM357" s="26">
        <v>2142562.3114999998</v>
      </c>
      <c r="AN357" s="31">
        <v>164117.28570000004</v>
      </c>
      <c r="AO357" s="32">
        <v>301848.04801792005</v>
      </c>
      <c r="AP357" s="77">
        <f>+N357-'Приложение №2'!E357</f>
        <v>0</v>
      </c>
      <c r="AQ357" s="28">
        <f>1377282.4-565094.81-R140</f>
        <v>-521275.08000000007</v>
      </c>
      <c r="AR357" s="1">
        <f t="shared" si="121"/>
        <v>521275.08</v>
      </c>
      <c r="AS357" s="1">
        <f>+(K357*10+L357*20)*12*30-180969.62-S140</f>
        <v>14075368.085616259</v>
      </c>
      <c r="AT357" s="28">
        <f t="shared" si="124"/>
        <v>-10586447.025376519</v>
      </c>
      <c r="AU357" s="28">
        <f>+P357-'[6]Приложение №1'!$P342</f>
        <v>0</v>
      </c>
      <c r="AV357" s="28">
        <f>+Q357-'[6]Приложение №1'!$Q342</f>
        <v>0</v>
      </c>
      <c r="AW357" s="28">
        <f>+R357-'[6]Приложение №1'!$R342</f>
        <v>-1333462.67</v>
      </c>
      <c r="AX357" s="28">
        <f>+S357-'[6]Приложение №1'!$S342</f>
        <v>2784196.59</v>
      </c>
      <c r="AY357" s="28">
        <f>+T357-'[6]Приложение №1'!$T342</f>
        <v>0</v>
      </c>
    </row>
    <row r="358" spans="1:51" x14ac:dyDescent="0.25">
      <c r="A358" s="137">
        <f t="shared" si="134"/>
        <v>340</v>
      </c>
      <c r="B358" s="138">
        <f t="shared" si="134"/>
        <v>152</v>
      </c>
      <c r="C358" s="120" t="s">
        <v>54</v>
      </c>
      <c r="D358" s="120" t="s">
        <v>572</v>
      </c>
      <c r="E358" s="121">
        <v>1964</v>
      </c>
      <c r="F358" s="121">
        <v>1964</v>
      </c>
      <c r="G358" s="121" t="s">
        <v>43</v>
      </c>
      <c r="H358" s="121">
        <v>2</v>
      </c>
      <c r="I358" s="121">
        <v>2</v>
      </c>
      <c r="J358" s="107">
        <v>816.77</v>
      </c>
      <c r="K358" s="107">
        <v>598.04999999999995</v>
      </c>
      <c r="L358" s="107">
        <v>218.72</v>
      </c>
      <c r="M358" s="122">
        <v>23</v>
      </c>
      <c r="N358" s="133">
        <f t="shared" si="114"/>
        <v>578480.11581599992</v>
      </c>
      <c r="O358" s="107"/>
      <c r="P358" s="108"/>
      <c r="Q358" s="108"/>
      <c r="R358" s="108">
        <f t="shared" si="129"/>
        <v>229835.71999999997</v>
      </c>
      <c r="S358" s="108">
        <f>+'Приложение №2'!E358-'Приложение №1'!R358</f>
        <v>348644.39581599995</v>
      </c>
      <c r="T358" s="108"/>
      <c r="U358" s="107">
        <f t="shared" si="117"/>
        <v>708.25338322416337</v>
      </c>
      <c r="V358" s="107">
        <f t="shared" si="117"/>
        <v>708.25338322416337</v>
      </c>
      <c r="W358" s="135">
        <v>2023</v>
      </c>
      <c r="X358" s="28" t="e">
        <f>+#REF!-'[1]Приложение №1'!$P753</f>
        <v>#REF!</v>
      </c>
      <c r="Z358" s="30">
        <f t="shared" si="131"/>
        <v>6301561.3699999992</v>
      </c>
      <c r="AA358" s="26">
        <v>0</v>
      </c>
      <c r="AB358" s="26">
        <v>0</v>
      </c>
      <c r="AC358" s="26">
        <v>499972.95528431999</v>
      </c>
      <c r="AD358" s="26">
        <v>0</v>
      </c>
      <c r="AE358" s="26">
        <v>0</v>
      </c>
      <c r="AF358" s="26"/>
      <c r="AG358" s="26">
        <v>0</v>
      </c>
      <c r="AH358" s="26">
        <v>0</v>
      </c>
      <c r="AI358" s="26">
        <v>5044446.5320746005</v>
      </c>
      <c r="AJ358" s="26">
        <v>0</v>
      </c>
      <c r="AK358" s="26">
        <v>0</v>
      </c>
      <c r="AL358" s="26">
        <v>0</v>
      </c>
      <c r="AM358" s="26">
        <v>572881.04409999994</v>
      </c>
      <c r="AN358" s="31">
        <v>63015.613700000002</v>
      </c>
      <c r="AO358" s="32">
        <v>121245.22484108002</v>
      </c>
      <c r="AP358" s="77">
        <f>+N358-'Приложение №2'!E358</f>
        <v>0</v>
      </c>
      <c r="AQ358" s="1">
        <f>223283.02-99067.28</f>
        <v>124215.73999999999</v>
      </c>
      <c r="AR358" s="1">
        <f t="shared" si="121"/>
        <v>105619.97999999998</v>
      </c>
      <c r="AS358" s="1">
        <f>+(K358*10+L358*20)*12*30-29457.72</f>
        <v>3698306.2799999993</v>
      </c>
      <c r="AT358" s="28">
        <f t="shared" si="124"/>
        <v>-3349661.8841839992</v>
      </c>
      <c r="AU358" s="28">
        <f>+P358-'[6]Приложение №1'!$P343</f>
        <v>0</v>
      </c>
      <c r="AV358" s="28">
        <f>+Q358-'[6]Приложение №1'!$Q343</f>
        <v>0</v>
      </c>
      <c r="AW358" s="28">
        <f>+R358-'[6]Приложение №1'!$R343</f>
        <v>0</v>
      </c>
      <c r="AX358" s="28">
        <f>+S358-'[6]Приложение №1'!$S343</f>
        <v>0</v>
      </c>
      <c r="AY358" s="28">
        <f>+T358-'[6]Приложение №1'!$T343</f>
        <v>0</v>
      </c>
    </row>
    <row r="359" spans="1:51" x14ac:dyDescent="0.25">
      <c r="A359" s="137">
        <f t="shared" si="134"/>
        <v>341</v>
      </c>
      <c r="B359" s="138">
        <f t="shared" si="134"/>
        <v>153</v>
      </c>
      <c r="C359" s="120" t="s">
        <v>54</v>
      </c>
      <c r="D359" s="120" t="s">
        <v>573</v>
      </c>
      <c r="E359" s="121">
        <v>1975</v>
      </c>
      <c r="F359" s="121">
        <v>2008</v>
      </c>
      <c r="G359" s="121" t="s">
        <v>43</v>
      </c>
      <c r="H359" s="121">
        <v>4</v>
      </c>
      <c r="I359" s="121">
        <v>4</v>
      </c>
      <c r="J359" s="107">
        <v>4182.96</v>
      </c>
      <c r="K359" s="107">
        <v>3048.03</v>
      </c>
      <c r="L359" s="107">
        <v>978.37</v>
      </c>
      <c r="M359" s="122">
        <v>135</v>
      </c>
      <c r="N359" s="133">
        <f t="shared" si="114"/>
        <v>6447490.537716561</v>
      </c>
      <c r="O359" s="107"/>
      <c r="P359" s="108"/>
      <c r="Q359" s="108"/>
      <c r="R359" s="108">
        <f t="shared" si="129"/>
        <v>1566212.3599999999</v>
      </c>
      <c r="S359" s="108">
        <f>+'Приложение №2'!E359-'Приложение №1'!R359</f>
        <v>4881278.1777165607</v>
      </c>
      <c r="T359" s="108">
        <v>9.3132257461547852E-10</v>
      </c>
      <c r="U359" s="107">
        <f t="shared" ref="U359:V380" si="136">$N359/($K359+$L359)</f>
        <v>1601.3040278453609</v>
      </c>
      <c r="V359" s="107">
        <f t="shared" si="136"/>
        <v>1601.3040278453609</v>
      </c>
      <c r="W359" s="135">
        <v>2023</v>
      </c>
      <c r="X359" s="28" t="e">
        <f>+#REF!-'[1]Приложение №1'!$P754</f>
        <v>#REF!</v>
      </c>
      <c r="Z359" s="30">
        <f t="shared" si="131"/>
        <v>16048675.259999996</v>
      </c>
      <c r="AA359" s="26">
        <v>7026285.4671664191</v>
      </c>
      <c r="AB359" s="26">
        <v>2485979.4267953397</v>
      </c>
      <c r="AC359" s="26">
        <v>0</v>
      </c>
      <c r="AD359" s="26">
        <v>1626070.4809313999</v>
      </c>
      <c r="AE359" s="26">
        <v>2080726.7578889399</v>
      </c>
      <c r="AF359" s="26"/>
      <c r="AG359" s="26">
        <v>278790.22600296006</v>
      </c>
      <c r="AH359" s="26">
        <v>0</v>
      </c>
      <c r="AI359" s="26">
        <v>0</v>
      </c>
      <c r="AJ359" s="26">
        <v>0</v>
      </c>
      <c r="AK359" s="26">
        <v>0</v>
      </c>
      <c r="AL359" s="26">
        <v>0</v>
      </c>
      <c r="AM359" s="26">
        <v>2095165.4553</v>
      </c>
      <c r="AN359" s="31">
        <v>160486.75260000001</v>
      </c>
      <c r="AO359" s="32">
        <v>295170.69331494003</v>
      </c>
      <c r="AP359" s="77">
        <f>+N359-'Приложение №2'!E359</f>
        <v>0</v>
      </c>
      <c r="AQ359" s="1">
        <f>1500891.17-445165.35</f>
        <v>1055725.8199999998</v>
      </c>
      <c r="AR359" s="1">
        <f t="shared" si="121"/>
        <v>510486.54</v>
      </c>
      <c r="AS359" s="1">
        <f>+(K359*10+L359*20)*12*30-179374.89</f>
        <v>17837797.109999999</v>
      </c>
      <c r="AT359" s="28">
        <f t="shared" si="124"/>
        <v>-12956518.932283439</v>
      </c>
      <c r="AU359" s="28">
        <f>+P359-'[6]Приложение №1'!$P344</f>
        <v>-2155250.5499999993</v>
      </c>
      <c r="AV359" s="28">
        <f>+Q359-'[6]Приложение №1'!$Q344</f>
        <v>0</v>
      </c>
      <c r="AW359" s="28">
        <f>+R359-'[6]Приложение №1'!$R344</f>
        <v>0</v>
      </c>
      <c r="AX359" s="28">
        <f>+S359-'[6]Приложение №1'!$S344</f>
        <v>0</v>
      </c>
      <c r="AY359" s="28">
        <f>+T359-'[6]Приложение №1'!$T344</f>
        <v>0</v>
      </c>
    </row>
    <row r="360" spans="1:51" x14ac:dyDescent="0.25">
      <c r="A360" s="137">
        <f t="shared" si="134"/>
        <v>342</v>
      </c>
      <c r="B360" s="138">
        <f t="shared" si="134"/>
        <v>154</v>
      </c>
      <c r="C360" s="120" t="s">
        <v>54</v>
      </c>
      <c r="D360" s="120" t="s">
        <v>574</v>
      </c>
      <c r="E360" s="121">
        <v>1978</v>
      </c>
      <c r="F360" s="121">
        <v>2007</v>
      </c>
      <c r="G360" s="121" t="s">
        <v>43</v>
      </c>
      <c r="H360" s="121">
        <v>4</v>
      </c>
      <c r="I360" s="121">
        <v>4</v>
      </c>
      <c r="J360" s="107">
        <v>3576.31</v>
      </c>
      <c r="K360" s="107">
        <v>2733.31</v>
      </c>
      <c r="L360" s="107">
        <v>843</v>
      </c>
      <c r="M360" s="122">
        <v>110</v>
      </c>
      <c r="N360" s="133">
        <f t="shared" si="114"/>
        <v>3056253.8263249598</v>
      </c>
      <c r="O360" s="107"/>
      <c r="P360" s="108"/>
      <c r="Q360" s="108"/>
      <c r="R360" s="108">
        <f t="shared" si="129"/>
        <v>1244325.77</v>
      </c>
      <c r="S360" s="108">
        <f>+'Приложение №2'!E360-'Приложение №1'!R360</f>
        <v>1811928.0563249597</v>
      </c>
      <c r="T360" s="108">
        <v>0</v>
      </c>
      <c r="U360" s="107">
        <f t="shared" si="136"/>
        <v>854.5830272892897</v>
      </c>
      <c r="V360" s="107">
        <f t="shared" si="136"/>
        <v>854.5830272892897</v>
      </c>
      <c r="W360" s="135">
        <v>2023</v>
      </c>
      <c r="X360" s="28" t="e">
        <f>+#REF!-'[1]Приложение №1'!$P755</f>
        <v>#REF!</v>
      </c>
      <c r="Z360" s="30">
        <f t="shared" si="131"/>
        <v>14323988.610000001</v>
      </c>
      <c r="AA360" s="26">
        <v>6271198.8006540602</v>
      </c>
      <c r="AB360" s="26">
        <v>2218821.2026700997</v>
      </c>
      <c r="AC360" s="26">
        <v>0</v>
      </c>
      <c r="AD360" s="26">
        <v>1451323.2211791598</v>
      </c>
      <c r="AE360" s="26">
        <v>1857119.41303938</v>
      </c>
      <c r="AF360" s="26"/>
      <c r="AG360" s="26">
        <v>248829.75972035999</v>
      </c>
      <c r="AH360" s="26">
        <v>0</v>
      </c>
      <c r="AI360" s="26">
        <v>0</v>
      </c>
      <c r="AJ360" s="26">
        <v>0</v>
      </c>
      <c r="AK360" s="26">
        <v>0</v>
      </c>
      <c r="AL360" s="26">
        <v>0</v>
      </c>
      <c r="AM360" s="26">
        <v>1870006.4417999999</v>
      </c>
      <c r="AN360" s="31">
        <v>143239.88609999997</v>
      </c>
      <c r="AO360" s="32">
        <v>263449.88483693998</v>
      </c>
      <c r="AP360" s="77">
        <f>+N360-'Приложение №2'!E360</f>
        <v>0</v>
      </c>
      <c r="AQ360" s="1">
        <f>1278728.82-485172.67</f>
        <v>793556.15000000014</v>
      </c>
      <c r="AR360" s="1">
        <f t="shared" si="121"/>
        <v>450769.61999999994</v>
      </c>
      <c r="AS360" s="1">
        <f>+(K360*10+L360*20)*12*30-175262.76</f>
        <v>15734253.239999998</v>
      </c>
      <c r="AT360" s="28">
        <f t="shared" si="124"/>
        <v>-13922325.18367504</v>
      </c>
      <c r="AU360" s="28">
        <f>+P360-'[6]Приложение №1'!$P345</f>
        <v>-8083380.5966666685</v>
      </c>
      <c r="AV360" s="28">
        <f>+Q360-'[6]Приложение №1'!$Q345</f>
        <v>0</v>
      </c>
      <c r="AW360" s="28">
        <f>+R360-'[6]Приложение №1'!$R345</f>
        <v>0</v>
      </c>
      <c r="AX360" s="28">
        <f>+S360-'[6]Приложение №1'!$S345</f>
        <v>0</v>
      </c>
      <c r="AY360" s="28">
        <f>+T360-'[6]Приложение №1'!$T345</f>
        <v>0</v>
      </c>
    </row>
    <row r="361" spans="1:51" x14ac:dyDescent="0.25">
      <c r="A361" s="137">
        <f t="shared" si="134"/>
        <v>343</v>
      </c>
      <c r="B361" s="138">
        <f t="shared" si="134"/>
        <v>155</v>
      </c>
      <c r="C361" s="120" t="s">
        <v>54</v>
      </c>
      <c r="D361" s="120" t="s">
        <v>575</v>
      </c>
      <c r="E361" s="121">
        <v>1964</v>
      </c>
      <c r="F361" s="121">
        <v>1964</v>
      </c>
      <c r="G361" s="121" t="s">
        <v>43</v>
      </c>
      <c r="H361" s="121">
        <v>2</v>
      </c>
      <c r="I361" s="121">
        <v>2</v>
      </c>
      <c r="J361" s="107">
        <v>868.87</v>
      </c>
      <c r="K361" s="107">
        <v>613.55999999999995</v>
      </c>
      <c r="L361" s="107">
        <v>255.31</v>
      </c>
      <c r="M361" s="122">
        <v>26</v>
      </c>
      <c r="N361" s="133">
        <f t="shared" si="114"/>
        <v>601192.01953599998</v>
      </c>
      <c r="O361" s="107"/>
      <c r="P361" s="108"/>
      <c r="Q361" s="108"/>
      <c r="R361" s="108">
        <f t="shared" si="129"/>
        <v>292223.84999999998</v>
      </c>
      <c r="S361" s="108">
        <f>+'Приложение №2'!E361-'Приложение №1'!R361</f>
        <v>308968.169536</v>
      </c>
      <c r="T361" s="108"/>
      <c r="U361" s="107">
        <f t="shared" si="136"/>
        <v>691.92401571696576</v>
      </c>
      <c r="V361" s="107">
        <f t="shared" si="136"/>
        <v>691.92401571696576</v>
      </c>
      <c r="W361" s="135">
        <v>2023</v>
      </c>
      <c r="X361" s="28" t="e">
        <f>+#REF!-'[1]Приложение №1'!$P756</f>
        <v>#REF!</v>
      </c>
      <c r="Z361" s="30">
        <f t="shared" si="131"/>
        <v>6504868.2400000012</v>
      </c>
      <c r="AA361" s="26">
        <v>0</v>
      </c>
      <c r="AB361" s="26">
        <v>0</v>
      </c>
      <c r="AC361" s="26">
        <v>516103.55464625999</v>
      </c>
      <c r="AD361" s="26">
        <v>0</v>
      </c>
      <c r="AE361" s="26">
        <v>0</v>
      </c>
      <c r="AF361" s="26"/>
      <c r="AG361" s="26">
        <v>0</v>
      </c>
      <c r="AH361" s="26">
        <v>0</v>
      </c>
      <c r="AI361" s="26">
        <v>5207195.1827070005</v>
      </c>
      <c r="AJ361" s="26">
        <v>0</v>
      </c>
      <c r="AK361" s="26">
        <v>0</v>
      </c>
      <c r="AL361" s="26">
        <v>0</v>
      </c>
      <c r="AM361" s="26">
        <v>591363.86849999998</v>
      </c>
      <c r="AN361" s="31">
        <v>65048.682400000005</v>
      </c>
      <c r="AO361" s="32">
        <v>125156.95174674</v>
      </c>
      <c r="AP361" s="77">
        <f>+N361-'Приложение №2'!E361</f>
        <v>0</v>
      </c>
      <c r="AQ361" s="1">
        <f>278417.8-100860.31</f>
        <v>177557.49</v>
      </c>
      <c r="AR361" s="1">
        <f t="shared" si="121"/>
        <v>114666.35999999997</v>
      </c>
      <c r="AS361" s="1">
        <f>+(K361*10+L361*20)*12*30-29524.86</f>
        <v>4017523.1399999992</v>
      </c>
      <c r="AT361" s="28">
        <f t="shared" si="124"/>
        <v>-3708554.9704639991</v>
      </c>
      <c r="AU361" s="28">
        <f>+P361-'[6]Приложение №1'!$P346</f>
        <v>13067801.45375926</v>
      </c>
      <c r="AV361" s="28">
        <f>+Q361-'[6]Приложение №1'!$Q346</f>
        <v>0</v>
      </c>
      <c r="AW361" s="28">
        <f>+R361-'[6]Приложение №1'!$R346</f>
        <v>0</v>
      </c>
      <c r="AX361" s="28">
        <f>+S361-'[6]Приложение №1'!$S346</f>
        <v>0</v>
      </c>
      <c r="AY361" s="28">
        <f>+T361-'[6]Приложение №1'!$T346</f>
        <v>0</v>
      </c>
    </row>
    <row r="362" spans="1:51" x14ac:dyDescent="0.25">
      <c r="A362" s="137">
        <f t="shared" ref="A362:B377" si="137">+A361+1</f>
        <v>344</v>
      </c>
      <c r="B362" s="138">
        <f t="shared" si="137"/>
        <v>156</v>
      </c>
      <c r="C362" s="120" t="s">
        <v>54</v>
      </c>
      <c r="D362" s="120" t="s">
        <v>577</v>
      </c>
      <c r="E362" s="121">
        <v>1962</v>
      </c>
      <c r="F362" s="121">
        <v>2017</v>
      </c>
      <c r="G362" s="121" t="s">
        <v>43</v>
      </c>
      <c r="H362" s="121">
        <v>2</v>
      </c>
      <c r="I362" s="121">
        <v>2</v>
      </c>
      <c r="J362" s="107">
        <v>1087.26</v>
      </c>
      <c r="K362" s="107">
        <v>641.25</v>
      </c>
      <c r="L362" s="107">
        <v>254.58</v>
      </c>
      <c r="M362" s="122">
        <v>29</v>
      </c>
      <c r="N362" s="133">
        <f t="shared" si="114"/>
        <v>549084.61</v>
      </c>
      <c r="O362" s="107"/>
      <c r="P362" s="108"/>
      <c r="Q362" s="108"/>
      <c r="R362" s="108">
        <f t="shared" si="129"/>
        <v>294150.18</v>
      </c>
      <c r="S362" s="108">
        <f>+'Приложение №2'!E362-'Приложение №1'!R362</f>
        <v>254934.43</v>
      </c>
      <c r="T362" s="108">
        <v>0</v>
      </c>
      <c r="U362" s="107">
        <f t="shared" si="136"/>
        <v>612.93393835884035</v>
      </c>
      <c r="V362" s="107">
        <f t="shared" si="136"/>
        <v>612.93393835884035</v>
      </c>
      <c r="W362" s="135">
        <v>2023</v>
      </c>
      <c r="X362" s="28" t="e">
        <f>+#REF!-'[1]Приложение №1'!$P757</f>
        <v>#REF!</v>
      </c>
      <c r="Z362" s="30">
        <f t="shared" si="131"/>
        <v>616949</v>
      </c>
      <c r="AA362" s="26">
        <v>0</v>
      </c>
      <c r="AB362" s="26">
        <v>0</v>
      </c>
      <c r="AC362" s="26">
        <v>537334.19934599998</v>
      </c>
      <c r="AD362" s="26">
        <v>0</v>
      </c>
      <c r="AE362" s="26">
        <v>0</v>
      </c>
      <c r="AF362" s="26"/>
      <c r="AG362" s="26">
        <v>0</v>
      </c>
      <c r="AH362" s="26">
        <v>0</v>
      </c>
      <c r="AI362" s="26">
        <v>0</v>
      </c>
      <c r="AJ362" s="26">
        <v>0</v>
      </c>
      <c r="AK362" s="26">
        <v>0</v>
      </c>
      <c r="AL362" s="26">
        <v>0</v>
      </c>
      <c r="AM362" s="26">
        <v>61694.9</v>
      </c>
      <c r="AN362" s="31">
        <v>6169.49</v>
      </c>
      <c r="AO362" s="32">
        <v>11750.410653999999</v>
      </c>
      <c r="AP362" s="77">
        <f>+N362-'Приложение №2'!E362</f>
        <v>0</v>
      </c>
      <c r="AQ362" s="1">
        <f>309756.66-132948.3</f>
        <v>176808.36</v>
      </c>
      <c r="AR362" s="1">
        <f t="shared" si="121"/>
        <v>117341.82</v>
      </c>
      <c r="AS362" s="1">
        <f>+(K362*10+L362*20)*12*30-30726.12</f>
        <v>4110749.8800000004</v>
      </c>
      <c r="AT362" s="28">
        <f t="shared" si="124"/>
        <v>-3855815.45</v>
      </c>
      <c r="AU362" s="28">
        <f>+P362-'[6]Приложение №1'!$P347</f>
        <v>-2967693.21</v>
      </c>
      <c r="AV362" s="28">
        <f>+Q362-'[6]Приложение №1'!$Q347</f>
        <v>0</v>
      </c>
      <c r="AW362" s="28">
        <f>+R362-'[6]Приложение №1'!$R347</f>
        <v>0</v>
      </c>
      <c r="AX362" s="28">
        <f>+S362-'[6]Приложение №1'!$S347</f>
        <v>0</v>
      </c>
      <c r="AY362" s="28">
        <f>+T362-'[6]Приложение №1'!$T347</f>
        <v>0</v>
      </c>
    </row>
    <row r="363" spans="1:51" x14ac:dyDescent="0.25">
      <c r="A363" s="137">
        <f t="shared" si="137"/>
        <v>345</v>
      </c>
      <c r="B363" s="138">
        <f t="shared" si="137"/>
        <v>157</v>
      </c>
      <c r="C363" s="120" t="s">
        <v>64</v>
      </c>
      <c r="D363" s="120" t="s">
        <v>587</v>
      </c>
      <c r="E363" s="121">
        <v>1980</v>
      </c>
      <c r="F363" s="121">
        <v>2000</v>
      </c>
      <c r="G363" s="121" t="s">
        <v>43</v>
      </c>
      <c r="H363" s="121">
        <v>4</v>
      </c>
      <c r="I363" s="121">
        <v>2</v>
      </c>
      <c r="J363" s="107">
        <v>1287.7</v>
      </c>
      <c r="K363" s="107">
        <v>1277.9000000000001</v>
      </c>
      <c r="L363" s="107">
        <v>0</v>
      </c>
      <c r="M363" s="122">
        <v>40</v>
      </c>
      <c r="N363" s="133">
        <f t="shared" si="114"/>
        <v>4035248.7116984078</v>
      </c>
      <c r="O363" s="107"/>
      <c r="P363" s="108"/>
      <c r="Q363" s="108"/>
      <c r="R363" s="108">
        <f t="shared" si="129"/>
        <v>715787.88</v>
      </c>
      <c r="S363" s="108">
        <f>+'Приложение №2'!E363-'Приложение №1'!R363</f>
        <v>3319460.8316984079</v>
      </c>
      <c r="T363" s="108">
        <v>1.1641532182693481E-10</v>
      </c>
      <c r="U363" s="107">
        <f t="shared" si="136"/>
        <v>3157.7186882372703</v>
      </c>
      <c r="V363" s="107">
        <f t="shared" si="136"/>
        <v>3157.7186882372703</v>
      </c>
      <c r="W363" s="135">
        <v>2023</v>
      </c>
      <c r="X363" s="28" t="e">
        <f>+#REF!-'[1]Приложение №1'!$P787</f>
        <v>#REF!</v>
      </c>
      <c r="Z363" s="30">
        <f t="shared" si="131"/>
        <v>9299405.044942271</v>
      </c>
      <c r="AA363" s="26">
        <v>3595441.7299740082</v>
      </c>
      <c r="AB363" s="26">
        <v>1661086.1448613489</v>
      </c>
      <c r="AC363" s="26">
        <v>1682740.6874936828</v>
      </c>
      <c r="AD363" s="26">
        <v>1087023.0029267459</v>
      </c>
      <c r="AE363" s="26">
        <v>0</v>
      </c>
      <c r="AF363" s="26"/>
      <c r="AG363" s="26">
        <v>125708.39506661828</v>
      </c>
      <c r="AH363" s="26">
        <v>0</v>
      </c>
      <c r="AI363" s="26">
        <v>0</v>
      </c>
      <c r="AJ363" s="26">
        <v>0</v>
      </c>
      <c r="AK363" s="26">
        <v>0</v>
      </c>
      <c r="AL363" s="26">
        <v>0</v>
      </c>
      <c r="AM363" s="26">
        <v>876143.30562875385</v>
      </c>
      <c r="AN363" s="31">
        <v>92994.050449422735</v>
      </c>
      <c r="AO363" s="32">
        <v>178267.72854169167</v>
      </c>
      <c r="AP363" s="77">
        <f>+N363-'Приложение №2'!E363</f>
        <v>0</v>
      </c>
      <c r="AQ363" s="1">
        <v>585442.07999999996</v>
      </c>
      <c r="AR363" s="1">
        <f t="shared" si="121"/>
        <v>130345.8</v>
      </c>
      <c r="AS363" s="1">
        <f t="shared" ref="AS363:AS377" si="138">+(K363*10+L363*20)*12*30</f>
        <v>4600440</v>
      </c>
      <c r="AT363" s="28">
        <f t="shared" si="124"/>
        <v>-1280979.1683015921</v>
      </c>
      <c r="AU363" s="28">
        <f>+P363-'[6]Приложение №1'!$P348</f>
        <v>-3041730.66</v>
      </c>
      <c r="AV363" s="28">
        <f>+Q363-'[6]Приложение №1'!$Q348</f>
        <v>0</v>
      </c>
      <c r="AW363" s="28">
        <f>+R363-'[6]Приложение №1'!$R348</f>
        <v>0</v>
      </c>
      <c r="AX363" s="28">
        <f>+S363-'[6]Приложение №1'!$S348</f>
        <v>0</v>
      </c>
      <c r="AY363" s="28">
        <f>+T363-'[6]Приложение №1'!$T348</f>
        <v>0</v>
      </c>
    </row>
    <row r="364" spans="1:51" x14ac:dyDescent="0.25">
      <c r="A364" s="137">
        <f t="shared" si="137"/>
        <v>346</v>
      </c>
      <c r="B364" s="138">
        <f t="shared" si="137"/>
        <v>158</v>
      </c>
      <c r="C364" s="120" t="s">
        <v>64</v>
      </c>
      <c r="D364" s="120" t="s">
        <v>588</v>
      </c>
      <c r="E364" s="121">
        <v>1984</v>
      </c>
      <c r="F364" s="121">
        <v>2010</v>
      </c>
      <c r="G364" s="121" t="s">
        <v>43</v>
      </c>
      <c r="H364" s="121">
        <v>5</v>
      </c>
      <c r="I364" s="121">
        <v>4</v>
      </c>
      <c r="J364" s="107">
        <v>3209.1</v>
      </c>
      <c r="K364" s="107">
        <v>1814.6</v>
      </c>
      <c r="L364" s="107">
        <v>635</v>
      </c>
      <c r="M364" s="122">
        <v>66</v>
      </c>
      <c r="N364" s="123">
        <f t="shared" si="114"/>
        <v>526378.2994685102</v>
      </c>
      <c r="O364" s="107"/>
      <c r="P364" s="108"/>
      <c r="Q364" s="108"/>
      <c r="R364" s="108">
        <f>+'Приложение №2'!E364</f>
        <v>526378.2994685102</v>
      </c>
      <c r="S364" s="108"/>
      <c r="T364" s="107"/>
      <c r="U364" s="108">
        <f>$N364/($K364+$L364)</f>
        <v>214.88336849628928</v>
      </c>
      <c r="V364" s="108">
        <f>$N364/($K364+$L364)</f>
        <v>214.88336849628928</v>
      </c>
      <c r="W364" s="135">
        <v>2023</v>
      </c>
      <c r="X364" s="28" t="e">
        <f>+#REF!-'[1]Приложение №1'!$P1748</f>
        <v>#REF!</v>
      </c>
      <c r="Z364" s="30">
        <f>SUM(AA364:AO364)</f>
        <v>1865966.0654482848</v>
      </c>
      <c r="AA364" s="26"/>
      <c r="AB364" s="26"/>
      <c r="AC364" s="26"/>
      <c r="AD364" s="26">
        <v>1570389.5768170147</v>
      </c>
      <c r="AE364" s="26">
        <v>0</v>
      </c>
      <c r="AF364" s="26"/>
      <c r="AG364" s="26">
        <v>0</v>
      </c>
      <c r="AH364" s="26">
        <v>0</v>
      </c>
      <c r="AI364" s="26">
        <v>0</v>
      </c>
      <c r="AJ364" s="26">
        <v>0</v>
      </c>
      <c r="AK364" s="26">
        <v>0</v>
      </c>
      <c r="AL364" s="26">
        <v>0</v>
      </c>
      <c r="AM364" s="26">
        <v>242575.58850827703</v>
      </c>
      <c r="AN364" s="31">
        <v>18659.66065448285</v>
      </c>
      <c r="AO364" s="32">
        <v>34341.239468510234</v>
      </c>
      <c r="AP364" s="77">
        <f>+N364-'Приложение №2'!E364</f>
        <v>0</v>
      </c>
      <c r="AQ364" s="1">
        <v>1304593.93</v>
      </c>
      <c r="AR364" s="1">
        <f>+(K364*10+L364*20)*12*0.85</f>
        <v>314629.2</v>
      </c>
      <c r="AS364" s="1">
        <f>+(K364*10+L364*20)*12*30</f>
        <v>11104560</v>
      </c>
      <c r="AT364" s="28">
        <f>+S364-AS364</f>
        <v>-11104560</v>
      </c>
    </row>
    <row r="365" spans="1:51" x14ac:dyDescent="0.25">
      <c r="A365" s="137">
        <f t="shared" si="137"/>
        <v>347</v>
      </c>
      <c r="B365" s="138">
        <f t="shared" si="137"/>
        <v>159</v>
      </c>
      <c r="C365" s="120" t="s">
        <v>64</v>
      </c>
      <c r="D365" s="120" t="s">
        <v>589</v>
      </c>
      <c r="E365" s="121">
        <v>1982</v>
      </c>
      <c r="F365" s="121"/>
      <c r="G365" s="121" t="s">
        <v>43</v>
      </c>
      <c r="H365" s="121">
        <v>5</v>
      </c>
      <c r="I365" s="121">
        <v>4</v>
      </c>
      <c r="J365" s="107">
        <v>3359.7</v>
      </c>
      <c r="K365" s="107">
        <v>2436.8000000000002</v>
      </c>
      <c r="L365" s="107">
        <v>338.7</v>
      </c>
      <c r="M365" s="122">
        <v>80</v>
      </c>
      <c r="N365" s="133">
        <f t="shared" si="114"/>
        <v>520542.46</v>
      </c>
      <c r="O365" s="107"/>
      <c r="P365" s="108">
        <f>+'[7]Приложение №2'!E350-'[7]Приложение №1'!R350-'[7]Приложение №1'!S350</f>
        <v>0</v>
      </c>
      <c r="Q365" s="108"/>
      <c r="R365" s="108">
        <f>+'Приложение №2'!E365</f>
        <v>520542.46</v>
      </c>
      <c r="S365" s="108"/>
      <c r="T365" s="108"/>
      <c r="U365" s="107">
        <f t="shared" si="136"/>
        <v>187.5490758421906</v>
      </c>
      <c r="V365" s="107">
        <f t="shared" si="136"/>
        <v>187.5490758421906</v>
      </c>
      <c r="W365" s="135">
        <v>2023</v>
      </c>
      <c r="X365" s="28"/>
      <c r="Z365" s="30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31"/>
      <c r="AO365" s="32"/>
      <c r="AP365" s="77">
        <f>+N365-'Приложение №2'!E365</f>
        <v>0</v>
      </c>
      <c r="AQ365" s="23">
        <v>1709418.27</v>
      </c>
      <c r="AR365" s="1">
        <f t="shared" si="121"/>
        <v>317648.39999999997</v>
      </c>
      <c r="AS365" s="1">
        <f t="shared" si="138"/>
        <v>11211120</v>
      </c>
      <c r="AT365" s="28">
        <f t="shared" si="124"/>
        <v>-11211120</v>
      </c>
    </row>
    <row r="366" spans="1:51" x14ac:dyDescent="0.25">
      <c r="A366" s="137">
        <f t="shared" si="137"/>
        <v>348</v>
      </c>
      <c r="B366" s="138">
        <f t="shared" si="137"/>
        <v>160</v>
      </c>
      <c r="C366" s="120" t="s">
        <v>64</v>
      </c>
      <c r="D366" s="120" t="s">
        <v>590</v>
      </c>
      <c r="E366" s="121">
        <v>1970</v>
      </c>
      <c r="F366" s="121">
        <v>2013</v>
      </c>
      <c r="G366" s="121" t="s">
        <v>43</v>
      </c>
      <c r="H366" s="121">
        <v>4</v>
      </c>
      <c r="I366" s="121">
        <v>2</v>
      </c>
      <c r="J366" s="107">
        <v>1446.8</v>
      </c>
      <c r="K366" s="107">
        <v>1340.5</v>
      </c>
      <c r="L366" s="107">
        <v>0</v>
      </c>
      <c r="M366" s="122">
        <v>57</v>
      </c>
      <c r="N366" s="133">
        <f t="shared" si="114"/>
        <v>1947788.4374377709</v>
      </c>
      <c r="O366" s="107"/>
      <c r="P366" s="108"/>
      <c r="Q366" s="108"/>
      <c r="R366" s="108">
        <f t="shared" ref="R366:R379" si="139">+AQ366+AR366</f>
        <v>781595.57</v>
      </c>
      <c r="S366" s="108">
        <f>+'Приложение №2'!E366-'Приложение №1'!R366</f>
        <v>1166192.8674377711</v>
      </c>
      <c r="T366" s="108">
        <v>0</v>
      </c>
      <c r="U366" s="107">
        <f t="shared" si="136"/>
        <v>1453.0312849218731</v>
      </c>
      <c r="V366" s="107">
        <f t="shared" si="136"/>
        <v>1453.0312849218731</v>
      </c>
      <c r="W366" s="135">
        <v>2023</v>
      </c>
      <c r="X366" s="28" t="e">
        <f>+#REF!-'[1]Приложение №1'!$P1146</f>
        <v>#REF!</v>
      </c>
      <c r="Z366" s="30">
        <f t="shared" ref="Z366:Z379" si="140">SUM(AA366:AO366)</f>
        <v>1958621.6233209604</v>
      </c>
      <c r="AA366" s="26">
        <v>0</v>
      </c>
      <c r="AB366" s="26">
        <v>0</v>
      </c>
      <c r="AC366" s="26">
        <v>1705869.3373178835</v>
      </c>
      <c r="AD366" s="26">
        <v>0</v>
      </c>
      <c r="AE366" s="26">
        <v>0</v>
      </c>
      <c r="AF366" s="26"/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6">
        <v>0</v>
      </c>
      <c r="AM366" s="26">
        <v>195862.16233209602</v>
      </c>
      <c r="AN366" s="31">
        <v>19586.216233209601</v>
      </c>
      <c r="AO366" s="32">
        <v>37303.907437771006</v>
      </c>
      <c r="AP366" s="77">
        <f>+N366-'Приложение №2'!E366</f>
        <v>0</v>
      </c>
      <c r="AQ366" s="1">
        <v>644864.56999999995</v>
      </c>
      <c r="AR366" s="1">
        <f t="shared" si="121"/>
        <v>136731</v>
      </c>
      <c r="AS366" s="1">
        <f t="shared" si="138"/>
        <v>4825800</v>
      </c>
      <c r="AT366" s="28">
        <f t="shared" si="124"/>
        <v>-3659607.1325622289</v>
      </c>
      <c r="AU366" s="28">
        <f>+P366-'[6]Приложение №1'!$P349</f>
        <v>-3841991.13</v>
      </c>
      <c r="AV366" s="28">
        <f>+Q366-'[6]Приложение №1'!$Q349</f>
        <v>0</v>
      </c>
      <c r="AW366" s="28">
        <f>+R366-'[6]Приложение №1'!$R349</f>
        <v>0</v>
      </c>
      <c r="AX366" s="28">
        <f>+S366-'[6]Приложение №1'!$S349</f>
        <v>0</v>
      </c>
      <c r="AY366" s="28">
        <f>+T366-'[6]Приложение №1'!$T349</f>
        <v>0</v>
      </c>
    </row>
    <row r="367" spans="1:51" x14ac:dyDescent="0.25">
      <c r="A367" s="137">
        <f t="shared" si="137"/>
        <v>349</v>
      </c>
      <c r="B367" s="138">
        <f t="shared" si="137"/>
        <v>161</v>
      </c>
      <c r="C367" s="120" t="s">
        <v>64</v>
      </c>
      <c r="D367" s="120" t="s">
        <v>591</v>
      </c>
      <c r="E367" s="121">
        <v>1965</v>
      </c>
      <c r="F367" s="121">
        <v>2006</v>
      </c>
      <c r="G367" s="121" t="s">
        <v>43</v>
      </c>
      <c r="H367" s="121">
        <v>3</v>
      </c>
      <c r="I367" s="121">
        <v>2</v>
      </c>
      <c r="J367" s="107">
        <v>1057</v>
      </c>
      <c r="K367" s="107">
        <v>910.1</v>
      </c>
      <c r="L367" s="107">
        <v>0</v>
      </c>
      <c r="M367" s="122">
        <v>42</v>
      </c>
      <c r="N367" s="133">
        <f t="shared" si="114"/>
        <v>1365207.499136603</v>
      </c>
      <c r="O367" s="107"/>
      <c r="P367" s="108"/>
      <c r="Q367" s="108"/>
      <c r="R367" s="108">
        <f t="shared" si="139"/>
        <v>507657.83</v>
      </c>
      <c r="S367" s="108">
        <f>+'Приложение №2'!E367-'Приложение №1'!R367</f>
        <v>857549.6691366029</v>
      </c>
      <c r="T367" s="108">
        <v>0</v>
      </c>
      <c r="U367" s="107">
        <f t="shared" si="136"/>
        <v>1500.0631789216602</v>
      </c>
      <c r="V367" s="107">
        <f t="shared" si="136"/>
        <v>1500.0631789216602</v>
      </c>
      <c r="W367" s="135">
        <v>2023</v>
      </c>
      <c r="X367" s="28" t="e">
        <f>+#REF!-'[1]Приложение №1'!$P1147</f>
        <v>#REF!</v>
      </c>
      <c r="Z367" s="30">
        <f t="shared" si="140"/>
        <v>8816238.8611652162</v>
      </c>
      <c r="AA367" s="26">
        <v>4211114.5920837251</v>
      </c>
      <c r="AB367" s="26">
        <v>2542939.3447388657</v>
      </c>
      <c r="AC367" s="26">
        <v>1017036.5333214835</v>
      </c>
      <c r="AD367" s="26">
        <v>0</v>
      </c>
      <c r="AE367" s="26">
        <v>0</v>
      </c>
      <c r="AF367" s="26"/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6">
        <v>0</v>
      </c>
      <c r="AM367" s="26">
        <v>787047.99294588482</v>
      </c>
      <c r="AN367" s="31">
        <v>88162.388611652161</v>
      </c>
      <c r="AO367" s="32">
        <v>169938.00946360437</v>
      </c>
      <c r="AP367" s="77">
        <f>+N367-'Приложение №2'!E367</f>
        <v>0</v>
      </c>
      <c r="AQ367" s="1">
        <v>414827.63</v>
      </c>
      <c r="AR367" s="1">
        <f t="shared" si="121"/>
        <v>92830.2</v>
      </c>
      <c r="AS367" s="1">
        <f t="shared" si="138"/>
        <v>3276360</v>
      </c>
      <c r="AT367" s="28">
        <f t="shared" si="124"/>
        <v>-2418810.3308633971</v>
      </c>
      <c r="AU367" s="28">
        <f>+P367-'[6]Приложение №1'!$P350</f>
        <v>-1932870.1700000009</v>
      </c>
      <c r="AV367" s="28">
        <f>+Q367-'[6]Приложение №1'!$Q350</f>
        <v>0</v>
      </c>
      <c r="AW367" s="28">
        <f>+R367-'[6]Приложение №1'!$R350</f>
        <v>0</v>
      </c>
      <c r="AX367" s="28">
        <f>+S367-'[6]Приложение №1'!$S350</f>
        <v>0</v>
      </c>
      <c r="AY367" s="28">
        <f>+T367-'[6]Приложение №1'!$T350</f>
        <v>0</v>
      </c>
    </row>
    <row r="368" spans="1:51" x14ac:dyDescent="0.25">
      <c r="A368" s="137">
        <f t="shared" si="137"/>
        <v>350</v>
      </c>
      <c r="B368" s="138">
        <f t="shared" si="137"/>
        <v>162</v>
      </c>
      <c r="C368" s="120" t="s">
        <v>64</v>
      </c>
      <c r="D368" s="120" t="s">
        <v>592</v>
      </c>
      <c r="E368" s="121">
        <v>1993</v>
      </c>
      <c r="F368" s="121">
        <v>2013</v>
      </c>
      <c r="G368" s="121" t="s">
        <v>43</v>
      </c>
      <c r="H368" s="121">
        <v>5</v>
      </c>
      <c r="I368" s="121">
        <v>4</v>
      </c>
      <c r="J368" s="107">
        <v>3395.5</v>
      </c>
      <c r="K368" s="107">
        <v>2227.23</v>
      </c>
      <c r="L368" s="107">
        <v>0</v>
      </c>
      <c r="M368" s="122">
        <v>37</v>
      </c>
      <c r="N368" s="133">
        <f t="shared" si="114"/>
        <v>6350031.4946001265</v>
      </c>
      <c r="O368" s="107"/>
      <c r="P368" s="108"/>
      <c r="Q368" s="108"/>
      <c r="R368" s="108">
        <f t="shared" si="139"/>
        <v>1000336.4099999999</v>
      </c>
      <c r="S368" s="108">
        <f>+'Приложение №2'!E368-'Приложение №1'!R368</f>
        <v>5349695.0846001264</v>
      </c>
      <c r="T368" s="108">
        <v>0</v>
      </c>
      <c r="U368" s="107">
        <f t="shared" si="136"/>
        <v>2851.0892429610444</v>
      </c>
      <c r="V368" s="107">
        <f t="shared" si="136"/>
        <v>2851.0892429610444</v>
      </c>
      <c r="W368" s="135">
        <v>2023</v>
      </c>
      <c r="X368" s="28" t="e">
        <f>+#REF!-'[1]Приложение №1'!$P1148</f>
        <v>#REF!</v>
      </c>
      <c r="Z368" s="30">
        <f t="shared" si="140"/>
        <v>6360267.7595478538</v>
      </c>
      <c r="AA368" s="26">
        <v>0</v>
      </c>
      <c r="AB368" s="26">
        <v>0</v>
      </c>
      <c r="AC368" s="26">
        <v>3320012.5520375175</v>
      </c>
      <c r="AD368" s="26">
        <v>2144673.8887888566</v>
      </c>
      <c r="AE368" s="26">
        <v>0</v>
      </c>
      <c r="AF368" s="26"/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6">
        <v>0</v>
      </c>
      <c r="AM368" s="26">
        <v>712477.0165258738</v>
      </c>
      <c r="AN368" s="31">
        <v>63602.677595478541</v>
      </c>
      <c r="AO368" s="32">
        <v>119501.62460012714</v>
      </c>
      <c r="AP368" s="77">
        <f>+N368-'Приложение №2'!E368</f>
        <v>0</v>
      </c>
      <c r="AQ368" s="1">
        <v>773158.95</v>
      </c>
      <c r="AR368" s="1">
        <f t="shared" si="121"/>
        <v>227177.45999999996</v>
      </c>
      <c r="AS368" s="1">
        <f t="shared" si="138"/>
        <v>8018027.9999999991</v>
      </c>
      <c r="AT368" s="28">
        <f t="shared" si="124"/>
        <v>-2668332.9153998727</v>
      </c>
      <c r="AU368" s="28">
        <f>+P368-'[6]Приложение №1'!$P351</f>
        <v>-1491506.5999999996</v>
      </c>
      <c r="AV368" s="28">
        <f>+Q368-'[6]Приложение №1'!$Q351</f>
        <v>0</v>
      </c>
      <c r="AW368" s="28">
        <f>+R368-'[6]Приложение №1'!$R351</f>
        <v>0</v>
      </c>
      <c r="AX368" s="28">
        <f>+S368-'[6]Приложение №1'!$S351</f>
        <v>0</v>
      </c>
      <c r="AY368" s="28">
        <f>+T368-'[6]Приложение №1'!$T351</f>
        <v>0</v>
      </c>
    </row>
    <row r="369" spans="1:51" x14ac:dyDescent="0.25">
      <c r="A369" s="137">
        <f t="shared" si="137"/>
        <v>351</v>
      </c>
      <c r="B369" s="138">
        <f t="shared" si="137"/>
        <v>163</v>
      </c>
      <c r="C369" s="120" t="s">
        <v>64</v>
      </c>
      <c r="D369" s="120" t="s">
        <v>593</v>
      </c>
      <c r="E369" s="121">
        <v>1969</v>
      </c>
      <c r="F369" s="121">
        <v>2013</v>
      </c>
      <c r="G369" s="121" t="s">
        <v>43</v>
      </c>
      <c r="H369" s="121">
        <v>4</v>
      </c>
      <c r="I369" s="121">
        <v>2</v>
      </c>
      <c r="J369" s="107">
        <v>1421.6</v>
      </c>
      <c r="K369" s="107">
        <v>1089.9000000000001</v>
      </c>
      <c r="L369" s="107">
        <v>300.27999999999997</v>
      </c>
      <c r="M369" s="122">
        <v>49</v>
      </c>
      <c r="N369" s="133">
        <f t="shared" si="114"/>
        <v>1949615.1872890538</v>
      </c>
      <c r="O369" s="107"/>
      <c r="P369" s="108"/>
      <c r="Q369" s="108"/>
      <c r="R369" s="108">
        <f t="shared" si="139"/>
        <v>657903.43999999994</v>
      </c>
      <c r="S369" s="108">
        <f>+'Приложение №2'!E369-'Приложение №1'!R369</f>
        <v>1291711.7472890539</v>
      </c>
      <c r="T369" s="108">
        <v>0</v>
      </c>
      <c r="U369" s="107">
        <f t="shared" si="136"/>
        <v>1402.419245917114</v>
      </c>
      <c r="V369" s="107">
        <f t="shared" si="136"/>
        <v>1402.419245917114</v>
      </c>
      <c r="W369" s="135">
        <v>2023</v>
      </c>
      <c r="X369" s="28" t="e">
        <f>+#REF!-'[1]Приложение №1'!$P1149</f>
        <v>#REF!</v>
      </c>
      <c r="Z369" s="30">
        <f t="shared" si="140"/>
        <v>1959828.6931142404</v>
      </c>
      <c r="AA369" s="26">
        <v>0</v>
      </c>
      <c r="AB369" s="26">
        <v>0</v>
      </c>
      <c r="AC369" s="26">
        <v>1706920.6395826202</v>
      </c>
      <c r="AD369" s="26">
        <v>0</v>
      </c>
      <c r="AE369" s="26">
        <v>0</v>
      </c>
      <c r="AF369" s="26"/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6">
        <v>0</v>
      </c>
      <c r="AM369" s="26">
        <v>195982.86931142406</v>
      </c>
      <c r="AN369" s="31">
        <v>19598.286931142404</v>
      </c>
      <c r="AO369" s="32">
        <v>37326.897289053828</v>
      </c>
      <c r="AP369" s="77">
        <f>+N369-'Приложение №2'!E369</f>
        <v>0</v>
      </c>
      <c r="AQ369" s="1">
        <v>485476.52</v>
      </c>
      <c r="AR369" s="1">
        <f t="shared" si="121"/>
        <v>172426.91999999998</v>
      </c>
      <c r="AS369" s="1">
        <f t="shared" si="138"/>
        <v>6085655.9999999991</v>
      </c>
      <c r="AT369" s="28">
        <f t="shared" si="124"/>
        <v>-4793944.252710945</v>
      </c>
      <c r="AU369" s="28">
        <f>+P369-'[6]Приложение №1'!$P352</f>
        <v>8321.410000000149</v>
      </c>
      <c r="AV369" s="28">
        <f>+Q369-'[6]Приложение №1'!$Q352</f>
        <v>0</v>
      </c>
      <c r="AW369" s="28">
        <f>+R369-'[6]Приложение №1'!$R352</f>
        <v>0</v>
      </c>
      <c r="AX369" s="28">
        <f>+S369-'[6]Приложение №1'!$S352</f>
        <v>0</v>
      </c>
      <c r="AY369" s="28">
        <f>+T369-'[6]Приложение №1'!$T352</f>
        <v>0</v>
      </c>
    </row>
    <row r="370" spans="1:51" x14ac:dyDescent="0.25">
      <c r="A370" s="137">
        <f t="shared" si="137"/>
        <v>352</v>
      </c>
      <c r="B370" s="138">
        <f t="shared" si="137"/>
        <v>164</v>
      </c>
      <c r="C370" s="120" t="s">
        <v>64</v>
      </c>
      <c r="D370" s="120" t="s">
        <v>594</v>
      </c>
      <c r="E370" s="121">
        <v>1967</v>
      </c>
      <c r="F370" s="121">
        <v>2013</v>
      </c>
      <c r="G370" s="121" t="s">
        <v>43</v>
      </c>
      <c r="H370" s="121">
        <v>3</v>
      </c>
      <c r="I370" s="121">
        <v>2</v>
      </c>
      <c r="J370" s="107">
        <v>1043.9000000000001</v>
      </c>
      <c r="K370" s="107">
        <v>633.5</v>
      </c>
      <c r="L370" s="107">
        <v>326.8</v>
      </c>
      <c r="M370" s="122">
        <v>24</v>
      </c>
      <c r="N370" s="133">
        <f t="shared" si="114"/>
        <v>948573.00123749382</v>
      </c>
      <c r="O370" s="107"/>
      <c r="P370" s="108"/>
      <c r="Q370" s="108"/>
      <c r="R370" s="108">
        <f t="shared" si="139"/>
        <v>721179.51</v>
      </c>
      <c r="S370" s="108">
        <f>+'Приложение №2'!E370-'Приложение №1'!R370</f>
        <v>227393.49123749381</v>
      </c>
      <c r="T370" s="108">
        <v>0</v>
      </c>
      <c r="U370" s="107">
        <f t="shared" si="136"/>
        <v>987.78819247890647</v>
      </c>
      <c r="V370" s="107">
        <f t="shared" si="136"/>
        <v>987.78819247890647</v>
      </c>
      <c r="W370" s="135">
        <v>2023</v>
      </c>
      <c r="X370" s="28" t="e">
        <f>+#REF!-'[1]Приложение №1'!$P1150</f>
        <v>#REF!</v>
      </c>
      <c r="Z370" s="30">
        <f t="shared" si="140"/>
        <v>823749.40866816009</v>
      </c>
      <c r="AA370" s="26">
        <v>0</v>
      </c>
      <c r="AB370" s="26">
        <v>0</v>
      </c>
      <c r="AC370" s="26">
        <v>717447.84247716866</v>
      </c>
      <c r="AD370" s="26">
        <v>0</v>
      </c>
      <c r="AE370" s="26">
        <v>0</v>
      </c>
      <c r="AF370" s="26"/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6">
        <v>0</v>
      </c>
      <c r="AM370" s="26">
        <v>82374.940866816018</v>
      </c>
      <c r="AN370" s="31">
        <v>8237.4940866816014</v>
      </c>
      <c r="AO370" s="32">
        <v>15689.131237493779</v>
      </c>
      <c r="AP370" s="77">
        <f>+N370-'Приложение №2'!E370</f>
        <v>0</v>
      </c>
      <c r="AQ370" s="1">
        <v>589895.31000000006</v>
      </c>
      <c r="AR370" s="1">
        <f t="shared" si="121"/>
        <v>131284.19999999998</v>
      </c>
      <c r="AS370" s="1">
        <f t="shared" si="138"/>
        <v>4633560</v>
      </c>
      <c r="AT370" s="28">
        <f t="shared" si="124"/>
        <v>-4406166.5087625058</v>
      </c>
      <c r="AU370" s="28">
        <f>+P370-'[6]Приложение №1'!$P353</f>
        <v>-1628827.3633333335</v>
      </c>
      <c r="AV370" s="28">
        <f>+Q370-'[6]Приложение №1'!$Q353</f>
        <v>0</v>
      </c>
      <c r="AW370" s="28">
        <f>+R370-'[6]Приложение №1'!$R353</f>
        <v>0</v>
      </c>
      <c r="AX370" s="28">
        <f>+S370-'[6]Приложение №1'!$S353</f>
        <v>0</v>
      </c>
      <c r="AY370" s="28">
        <f>+T370-'[6]Приложение №1'!$T353</f>
        <v>0</v>
      </c>
    </row>
    <row r="371" spans="1:51" x14ac:dyDescent="0.25">
      <c r="A371" s="137">
        <f t="shared" si="137"/>
        <v>353</v>
      </c>
      <c r="B371" s="138">
        <f t="shared" si="137"/>
        <v>165</v>
      </c>
      <c r="C371" s="120" t="s">
        <v>64</v>
      </c>
      <c r="D371" s="120" t="s">
        <v>214</v>
      </c>
      <c r="E371" s="121">
        <v>1979</v>
      </c>
      <c r="F371" s="121">
        <v>2013</v>
      </c>
      <c r="G371" s="121" t="s">
        <v>43</v>
      </c>
      <c r="H371" s="121">
        <v>5</v>
      </c>
      <c r="I371" s="121">
        <v>4</v>
      </c>
      <c r="J371" s="107">
        <v>3313.8</v>
      </c>
      <c r="K371" s="107">
        <v>2402.9</v>
      </c>
      <c r="L371" s="107">
        <v>0</v>
      </c>
      <c r="M371" s="122">
        <v>83</v>
      </c>
      <c r="N371" s="123">
        <f t="shared" si="114"/>
        <v>466454.1786358984</v>
      </c>
      <c r="O371" s="107"/>
      <c r="P371" s="108"/>
      <c r="Q371" s="108"/>
      <c r="R371" s="108">
        <f>+'Приложение №2'!E371</f>
        <v>466454.1786358984</v>
      </c>
      <c r="S371" s="108">
        <f>+'Приложение №2'!E371-'Приложение №1'!R371</f>
        <v>0</v>
      </c>
      <c r="T371" s="107">
        <f>+'Приложение №2'!E371-'Приложение №1'!P371-'Приложение №1'!Q371-'Приложение №1'!R371-'Приложение №1'!S371</f>
        <v>0</v>
      </c>
      <c r="U371" s="108">
        <f>$N371/($K371+$L371)</f>
        <v>194.12134447371858</v>
      </c>
      <c r="V371" s="108">
        <f>$N371/($K371+$L371)</f>
        <v>194.12134447371858</v>
      </c>
      <c r="W371" s="135">
        <v>2023</v>
      </c>
      <c r="X371" s="28" t="e">
        <f>+#REF!-'[1]Приложение №1'!$P1539</f>
        <v>#REF!</v>
      </c>
      <c r="Z371" s="30">
        <f>SUM(AA371:AO371)</f>
        <v>2386447.4372907174</v>
      </c>
      <c r="AA371" s="26"/>
      <c r="AB371" s="26"/>
      <c r="AC371" s="26"/>
      <c r="AD371" s="26">
        <v>2008424.6174341184</v>
      </c>
      <c r="AE371" s="26">
        <v>0</v>
      </c>
      <c r="AF371" s="26"/>
      <c r="AG371" s="26">
        <v>0</v>
      </c>
      <c r="AH371" s="26">
        <v>0</v>
      </c>
      <c r="AI371" s="26">
        <v>0</v>
      </c>
      <c r="AJ371" s="26">
        <v>0</v>
      </c>
      <c r="AK371" s="26">
        <v>0</v>
      </c>
      <c r="AL371" s="26">
        <v>0</v>
      </c>
      <c r="AM371" s="26">
        <v>310238.16684779321</v>
      </c>
      <c r="AN371" s="31">
        <v>23864.474372907171</v>
      </c>
      <c r="AO371" s="32">
        <v>43920.178635898366</v>
      </c>
      <c r="AP371" s="77">
        <f>+N371-'Приложение №2'!E371</f>
        <v>0</v>
      </c>
      <c r="AQ371" s="1">
        <f>846724.36-198805.3544</f>
        <v>647919.00560000003</v>
      </c>
      <c r="AR371" s="1">
        <f>+(K371*10+L371*20)*12*0.85</f>
        <v>245095.8</v>
      </c>
      <c r="AS371" s="1">
        <f>+(K371*10+L371*20)*12*30-658098.6</f>
        <v>7992341.4000000004</v>
      </c>
      <c r="AT371" s="28">
        <f>+S371-AS371</f>
        <v>-7992341.4000000004</v>
      </c>
    </row>
    <row r="372" spans="1:51" x14ac:dyDescent="0.25">
      <c r="A372" s="137">
        <f t="shared" si="137"/>
        <v>354</v>
      </c>
      <c r="B372" s="138">
        <f t="shared" si="137"/>
        <v>166</v>
      </c>
      <c r="C372" s="120" t="s">
        <v>64</v>
      </c>
      <c r="D372" s="120" t="s">
        <v>595</v>
      </c>
      <c r="E372" s="121">
        <v>1971</v>
      </c>
      <c r="F372" s="121">
        <v>2013</v>
      </c>
      <c r="G372" s="121" t="s">
        <v>43</v>
      </c>
      <c r="H372" s="121">
        <v>3</v>
      </c>
      <c r="I372" s="121">
        <v>1</v>
      </c>
      <c r="J372" s="107">
        <v>536</v>
      </c>
      <c r="K372" s="107">
        <v>489.9</v>
      </c>
      <c r="L372" s="107">
        <v>0</v>
      </c>
      <c r="M372" s="122">
        <v>16</v>
      </c>
      <c r="N372" s="133">
        <f t="shared" si="114"/>
        <v>721601.24847460375</v>
      </c>
      <c r="O372" s="107"/>
      <c r="P372" s="108"/>
      <c r="Q372" s="108"/>
      <c r="R372" s="108">
        <f t="shared" si="139"/>
        <v>176134.18</v>
      </c>
      <c r="S372" s="108">
        <f>+'Приложение №2'!E372-'Приложение №1'!R372</f>
        <v>545467.06847460382</v>
      </c>
      <c r="T372" s="108">
        <v>2.9103830456733704E-11</v>
      </c>
      <c r="U372" s="107">
        <f t="shared" si="136"/>
        <v>1472.9562124405059</v>
      </c>
      <c r="V372" s="107">
        <f t="shared" si="136"/>
        <v>1472.9562124405059</v>
      </c>
      <c r="W372" s="135">
        <v>2023</v>
      </c>
      <c r="X372" s="28" t="e">
        <f>+#REF!-'[1]Приложение №1'!$P1151</f>
        <v>#REF!</v>
      </c>
      <c r="Z372" s="30">
        <f t="shared" si="140"/>
        <v>628529.26990464004</v>
      </c>
      <c r="AA372" s="26">
        <v>0</v>
      </c>
      <c r="AB372" s="26">
        <v>0</v>
      </c>
      <c r="AC372" s="26">
        <v>547420.0817405259</v>
      </c>
      <c r="AD372" s="26">
        <v>0</v>
      </c>
      <c r="AE372" s="26">
        <v>0</v>
      </c>
      <c r="AF372" s="26"/>
      <c r="AG372" s="26">
        <v>0</v>
      </c>
      <c r="AH372" s="26">
        <v>0</v>
      </c>
      <c r="AI372" s="26">
        <v>0</v>
      </c>
      <c r="AJ372" s="26">
        <v>0</v>
      </c>
      <c r="AK372" s="26">
        <v>0</v>
      </c>
      <c r="AL372" s="26">
        <v>0</v>
      </c>
      <c r="AM372" s="26">
        <v>62852.92699046401</v>
      </c>
      <c r="AN372" s="31">
        <v>6285.2926990464002</v>
      </c>
      <c r="AO372" s="32">
        <v>11970.968474603775</v>
      </c>
      <c r="AP372" s="77">
        <f>+N372-'Приложение №2'!E372</f>
        <v>0</v>
      </c>
      <c r="AQ372" s="1">
        <v>126164.38</v>
      </c>
      <c r="AR372" s="1">
        <f t="shared" si="121"/>
        <v>49969.799999999996</v>
      </c>
      <c r="AS372" s="1">
        <f t="shared" si="138"/>
        <v>1763640</v>
      </c>
      <c r="AT372" s="28">
        <f t="shared" si="124"/>
        <v>-1218172.9315253962</v>
      </c>
      <c r="AU372" s="28">
        <f>+P372-'[6]Приложение №1'!$P354</f>
        <v>-1136928.2899999998</v>
      </c>
      <c r="AV372" s="28">
        <f>+Q372-'[6]Приложение №1'!$Q354</f>
        <v>0</v>
      </c>
      <c r="AW372" s="28">
        <f>+R372-'[6]Приложение №1'!$R354</f>
        <v>0</v>
      </c>
      <c r="AX372" s="28">
        <f>+S372-'[6]Приложение №1'!$S354</f>
        <v>0</v>
      </c>
      <c r="AY372" s="28">
        <f>+T372-'[6]Приложение №1'!$T354</f>
        <v>0</v>
      </c>
    </row>
    <row r="373" spans="1:51" x14ac:dyDescent="0.25">
      <c r="A373" s="137">
        <f t="shared" si="137"/>
        <v>355</v>
      </c>
      <c r="B373" s="138">
        <f t="shared" si="137"/>
        <v>167</v>
      </c>
      <c r="C373" s="120" t="s">
        <v>64</v>
      </c>
      <c r="D373" s="120" t="s">
        <v>215</v>
      </c>
      <c r="E373" s="121">
        <v>1990</v>
      </c>
      <c r="F373" s="121">
        <v>2012</v>
      </c>
      <c r="G373" s="121" t="s">
        <v>43</v>
      </c>
      <c r="H373" s="121">
        <v>5</v>
      </c>
      <c r="I373" s="121">
        <v>4</v>
      </c>
      <c r="J373" s="107">
        <v>3306.7</v>
      </c>
      <c r="K373" s="107">
        <v>2787.1</v>
      </c>
      <c r="L373" s="107">
        <v>0</v>
      </c>
      <c r="M373" s="122">
        <v>110</v>
      </c>
      <c r="N373" s="133">
        <f t="shared" si="114"/>
        <v>21093264.575755343</v>
      </c>
      <c r="O373" s="107"/>
      <c r="P373" s="108">
        <v>3326870.9585851147</v>
      </c>
      <c r="Q373" s="108"/>
      <c r="R373" s="108">
        <f t="shared" si="139"/>
        <v>1067245.3</v>
      </c>
      <c r="S373" s="108">
        <f>+AS373</f>
        <v>10033560</v>
      </c>
      <c r="T373" s="108">
        <f>+'Приложение №2'!E373-'Приложение №1'!P373-'Приложение №1'!Q373-'Приложение №1'!R373-'Приложение №1'!S373</f>
        <v>6665588.3171702288</v>
      </c>
      <c r="U373" s="107">
        <f t="shared" si="136"/>
        <v>7568.1764471154047</v>
      </c>
      <c r="V373" s="107">
        <f t="shared" si="136"/>
        <v>7568.1764471154047</v>
      </c>
      <c r="W373" s="135">
        <v>2023</v>
      </c>
      <c r="X373" s="28" t="e">
        <f>+#REF!-'[1]Приложение №1'!$P1152</f>
        <v>#REF!</v>
      </c>
      <c r="Z373" s="30">
        <f t="shared" si="140"/>
        <v>20902928.128522508</v>
      </c>
      <c r="AA373" s="26">
        <v>0</v>
      </c>
      <c r="AB373" s="26">
        <v>0</v>
      </c>
      <c r="AC373" s="26">
        <v>0</v>
      </c>
      <c r="AD373" s="26">
        <v>0</v>
      </c>
      <c r="AE373" s="26">
        <v>0</v>
      </c>
      <c r="AF373" s="26"/>
      <c r="AG373" s="26">
        <v>0</v>
      </c>
      <c r="AH373" s="26">
        <v>0</v>
      </c>
      <c r="AI373" s="26">
        <v>18410044.919914912</v>
      </c>
      <c r="AJ373" s="26">
        <v>0</v>
      </c>
      <c r="AK373" s="26">
        <v>0</v>
      </c>
      <c r="AL373" s="26">
        <v>0</v>
      </c>
      <c r="AM373" s="26">
        <v>1881263.5315670257</v>
      </c>
      <c r="AN373" s="31">
        <v>209029.28128522509</v>
      </c>
      <c r="AO373" s="32">
        <v>402590.39575534349</v>
      </c>
      <c r="AP373" s="77">
        <f>+N373-'Приложение №2'!E373</f>
        <v>0</v>
      </c>
      <c r="AQ373" s="1">
        <v>782961.1</v>
      </c>
      <c r="AR373" s="1">
        <f t="shared" si="121"/>
        <v>284284.2</v>
      </c>
      <c r="AS373" s="1">
        <f t="shared" si="138"/>
        <v>10033560</v>
      </c>
      <c r="AT373" s="28">
        <f t="shared" si="124"/>
        <v>0</v>
      </c>
      <c r="AU373" s="28">
        <f>+P373-'[6]Приложение №1'!$P355</f>
        <v>0</v>
      </c>
      <c r="AV373" s="28">
        <f>+Q373-'[6]Приложение №1'!$Q355</f>
        <v>0</v>
      </c>
      <c r="AW373" s="28">
        <f>+R373-'[6]Приложение №1'!$R355</f>
        <v>0</v>
      </c>
      <c r="AX373" s="28">
        <f>+S373-'[6]Приложение №1'!$S355</f>
        <v>0</v>
      </c>
      <c r="AY373" s="28">
        <f>+T373-'[6]Приложение №1'!$T355</f>
        <v>0</v>
      </c>
    </row>
    <row r="374" spans="1:51" x14ac:dyDescent="0.25">
      <c r="A374" s="137">
        <f t="shared" si="137"/>
        <v>356</v>
      </c>
      <c r="B374" s="138">
        <f t="shared" si="137"/>
        <v>168</v>
      </c>
      <c r="C374" s="120" t="s">
        <v>64</v>
      </c>
      <c r="D374" s="120" t="s">
        <v>596</v>
      </c>
      <c r="E374" s="121">
        <v>1970</v>
      </c>
      <c r="F374" s="121">
        <v>2013</v>
      </c>
      <c r="G374" s="121" t="s">
        <v>43</v>
      </c>
      <c r="H374" s="121">
        <v>3</v>
      </c>
      <c r="I374" s="121">
        <v>2</v>
      </c>
      <c r="J374" s="107">
        <v>1053.5</v>
      </c>
      <c r="K374" s="107">
        <v>637.79999999999995</v>
      </c>
      <c r="L374" s="107">
        <v>0</v>
      </c>
      <c r="M374" s="122">
        <v>23</v>
      </c>
      <c r="N374" s="133">
        <f t="shared" si="114"/>
        <v>951471.1264880274</v>
      </c>
      <c r="O374" s="107"/>
      <c r="P374" s="108"/>
      <c r="Q374" s="108"/>
      <c r="R374" s="108">
        <f t="shared" si="139"/>
        <v>328042.14999999997</v>
      </c>
      <c r="S374" s="108">
        <f>+'Приложение №2'!E374-'Приложение №1'!R374</f>
        <v>623428.97648802749</v>
      </c>
      <c r="T374" s="108">
        <v>0</v>
      </c>
      <c r="U374" s="107">
        <f t="shared" si="136"/>
        <v>1491.8017034933011</v>
      </c>
      <c r="V374" s="107">
        <f t="shared" si="136"/>
        <v>1491.8017034933011</v>
      </c>
      <c r="W374" s="135">
        <v>2023</v>
      </c>
      <c r="X374" s="28" t="e">
        <f>+#REF!-'[1]Приложение №1'!$P1153</f>
        <v>#REF!</v>
      </c>
      <c r="Z374" s="30">
        <f t="shared" si="140"/>
        <v>7495898.6137351692</v>
      </c>
      <c r="AA374" s="26">
        <v>2954908.2826843821</v>
      </c>
      <c r="AB374" s="26">
        <v>1784361.9231493648</v>
      </c>
      <c r="AC374" s="26">
        <v>713647.09042914386</v>
      </c>
      <c r="AD374" s="26">
        <v>0</v>
      </c>
      <c r="AE374" s="26">
        <v>0</v>
      </c>
      <c r="AF374" s="26"/>
      <c r="AG374" s="26">
        <v>214102.51111192559</v>
      </c>
      <c r="AH374" s="26">
        <v>0</v>
      </c>
      <c r="AI374" s="26">
        <v>0</v>
      </c>
      <c r="AJ374" s="26">
        <v>0</v>
      </c>
      <c r="AK374" s="26">
        <v>946168.58854243939</v>
      </c>
      <c r="AL374" s="26">
        <v>0</v>
      </c>
      <c r="AM374" s="26">
        <v>663134.19543221779</v>
      </c>
      <c r="AN374" s="31">
        <v>74958.986137351691</v>
      </c>
      <c r="AO374" s="32">
        <v>144617.03624834382</v>
      </c>
      <c r="AP374" s="77">
        <f>+N374-'Приложение №2'!E374</f>
        <v>0</v>
      </c>
      <c r="AQ374" s="1">
        <v>262986.55</v>
      </c>
      <c r="AR374" s="1">
        <f t="shared" si="121"/>
        <v>65055.6</v>
      </c>
      <c r="AS374" s="1">
        <f t="shared" si="138"/>
        <v>2296080</v>
      </c>
      <c r="AT374" s="28">
        <f t="shared" si="124"/>
        <v>-1672651.0235119725</v>
      </c>
      <c r="AU374" s="28">
        <f>+P374-'[6]Приложение №1'!$P356</f>
        <v>0</v>
      </c>
      <c r="AV374" s="28">
        <f>+Q374-'[6]Приложение №1'!$Q356</f>
        <v>0</v>
      </c>
      <c r="AW374" s="28">
        <f>+R374-'[6]Приложение №1'!$R356</f>
        <v>0</v>
      </c>
      <c r="AX374" s="28">
        <f>+S374-'[6]Приложение №1'!$S356</f>
        <v>0</v>
      </c>
      <c r="AY374" s="28">
        <f>+T374-'[6]Приложение №1'!$T356</f>
        <v>0</v>
      </c>
    </row>
    <row r="375" spans="1:51" x14ac:dyDescent="0.25">
      <c r="A375" s="137">
        <f t="shared" si="137"/>
        <v>357</v>
      </c>
      <c r="B375" s="138">
        <f t="shared" si="137"/>
        <v>169</v>
      </c>
      <c r="C375" s="120" t="s">
        <v>64</v>
      </c>
      <c r="D375" s="120" t="s">
        <v>597</v>
      </c>
      <c r="E375" s="121">
        <v>1964</v>
      </c>
      <c r="F375" s="121">
        <v>2006</v>
      </c>
      <c r="G375" s="121" t="s">
        <v>43</v>
      </c>
      <c r="H375" s="121">
        <v>3</v>
      </c>
      <c r="I375" s="121">
        <v>2</v>
      </c>
      <c r="J375" s="107">
        <v>1137</v>
      </c>
      <c r="K375" s="107">
        <v>898.1</v>
      </c>
      <c r="L375" s="107">
        <v>238.9</v>
      </c>
      <c r="M375" s="122">
        <v>31</v>
      </c>
      <c r="N375" s="133">
        <f t="shared" si="114"/>
        <v>6917016.3592651244</v>
      </c>
      <c r="O375" s="107"/>
      <c r="P375" s="108">
        <v>1463463.5249940937</v>
      </c>
      <c r="Q375" s="108"/>
      <c r="R375" s="108">
        <f t="shared" si="139"/>
        <v>729407.92999999993</v>
      </c>
      <c r="S375" s="108">
        <f>+'Приложение №2'!E375-'Приложение №1'!R375-P375</f>
        <v>4724144.9042710308</v>
      </c>
      <c r="T375" s="108">
        <f>+'Приложение №2'!E375-'Приложение №1'!P375-'Приложение №1'!Q375-'Приложение №1'!R375-'Приложение №1'!S375</f>
        <v>0</v>
      </c>
      <c r="U375" s="107">
        <f t="shared" si="136"/>
        <v>6083.5675982982621</v>
      </c>
      <c r="V375" s="107">
        <f t="shared" si="136"/>
        <v>6083.5675982982621</v>
      </c>
      <c r="W375" s="135">
        <v>2023</v>
      </c>
      <c r="X375" s="28" t="e">
        <f>+#REF!-'[1]Приложение №1'!$P1154</f>
        <v>#REF!</v>
      </c>
      <c r="Z375" s="30">
        <f t="shared" si="140"/>
        <v>23160120.339689046</v>
      </c>
      <c r="AA375" s="26">
        <v>4146776.8334225207</v>
      </c>
      <c r="AB375" s="26">
        <v>2504088.1061239289</v>
      </c>
      <c r="AC375" s="26">
        <v>0</v>
      </c>
      <c r="AD375" s="26">
        <v>0</v>
      </c>
      <c r="AE375" s="26">
        <v>0</v>
      </c>
      <c r="AF375" s="26"/>
      <c r="AG375" s="26">
        <v>300461.21507702715</v>
      </c>
      <c r="AH375" s="26">
        <v>0</v>
      </c>
      <c r="AI375" s="26">
        <v>12145951.94218928</v>
      </c>
      <c r="AJ375" s="26">
        <v>0</v>
      </c>
      <c r="AK375" s="26">
        <v>1327807.7043784016</v>
      </c>
      <c r="AL375" s="26">
        <v>0</v>
      </c>
      <c r="AM375" s="26">
        <v>2056778.0764197302</v>
      </c>
      <c r="AN375" s="31">
        <v>231601.20339689046</v>
      </c>
      <c r="AO375" s="32">
        <v>446655.25868126994</v>
      </c>
      <c r="AP375" s="77">
        <f>+N375-'Приложение №2'!E375</f>
        <v>0</v>
      </c>
      <c r="AQ375" s="1">
        <v>589066.13</v>
      </c>
      <c r="AR375" s="1">
        <f t="shared" si="121"/>
        <v>140341.79999999999</v>
      </c>
      <c r="AS375" s="1">
        <f t="shared" si="138"/>
        <v>4953240</v>
      </c>
      <c r="AT375" s="28">
        <f t="shared" si="124"/>
        <v>-229095.0957289692</v>
      </c>
      <c r="AU375" s="28">
        <f>+P375-'[6]Приложение №1'!$P357</f>
        <v>0</v>
      </c>
      <c r="AV375" s="28">
        <f>+Q375-'[6]Приложение №1'!$Q357</f>
        <v>0</v>
      </c>
      <c r="AW375" s="28">
        <f>+R375-'[6]Приложение №1'!$R357</f>
        <v>0</v>
      </c>
      <c r="AX375" s="28">
        <f>+S375-'[6]Приложение №1'!$S357</f>
        <v>0</v>
      </c>
      <c r="AY375" s="28">
        <f>+T375-'[6]Приложение №1'!$T357</f>
        <v>0</v>
      </c>
    </row>
    <row r="376" spans="1:51" x14ac:dyDescent="0.25">
      <c r="A376" s="137">
        <f t="shared" si="137"/>
        <v>358</v>
      </c>
      <c r="B376" s="138">
        <f t="shared" si="137"/>
        <v>170</v>
      </c>
      <c r="C376" s="120" t="s">
        <v>64</v>
      </c>
      <c r="D376" s="120" t="s">
        <v>598</v>
      </c>
      <c r="E376" s="121">
        <v>1965</v>
      </c>
      <c r="F376" s="121">
        <v>2006</v>
      </c>
      <c r="G376" s="121" t="s">
        <v>43</v>
      </c>
      <c r="H376" s="121">
        <v>3</v>
      </c>
      <c r="I376" s="121">
        <v>2</v>
      </c>
      <c r="J376" s="107">
        <v>1034.0999999999999</v>
      </c>
      <c r="K376" s="107">
        <v>959.8</v>
      </c>
      <c r="L376" s="107">
        <v>0</v>
      </c>
      <c r="M376" s="122">
        <v>25</v>
      </c>
      <c r="N376" s="133">
        <f t="shared" si="114"/>
        <v>8854298.596650539</v>
      </c>
      <c r="O376" s="107"/>
      <c r="P376" s="108">
        <v>2175839.7215601779</v>
      </c>
      <c r="Q376" s="108"/>
      <c r="R376" s="108">
        <f t="shared" si="139"/>
        <v>484836.6</v>
      </c>
      <c r="S376" s="108">
        <f>+AS376</f>
        <v>3455280</v>
      </c>
      <c r="T376" s="108">
        <f>+'Приложение №2'!E376-'Приложение №1'!P376-'Приложение №1'!Q376-'Приложение №1'!R376-'Приложение №1'!S376</f>
        <v>2738342.275090361</v>
      </c>
      <c r="U376" s="107">
        <f t="shared" si="136"/>
        <v>9225.1496110132721</v>
      </c>
      <c r="V376" s="107">
        <f t="shared" si="136"/>
        <v>9225.1496110132721</v>
      </c>
      <c r="W376" s="135">
        <v>2023</v>
      </c>
      <c r="X376" s="28" t="e">
        <f>+#REF!-'[1]Приложение №1'!$P1155</f>
        <v>#REF!</v>
      </c>
      <c r="Z376" s="30">
        <f t="shared" si="140"/>
        <v>26038489.198511466</v>
      </c>
      <c r="AA376" s="26">
        <v>4441619.6554886159</v>
      </c>
      <c r="AB376" s="26">
        <v>2682132.990999578</v>
      </c>
      <c r="AC376" s="26">
        <v>1072706.3721425538</v>
      </c>
      <c r="AD376" s="26">
        <v>0</v>
      </c>
      <c r="AE376" s="26">
        <v>0</v>
      </c>
      <c r="AF376" s="26"/>
      <c r="AG376" s="26">
        <v>321824.51388315129</v>
      </c>
      <c r="AH376" s="26">
        <v>0</v>
      </c>
      <c r="AI376" s="26">
        <v>13009549.596746104</v>
      </c>
      <c r="AJ376" s="26">
        <v>0</v>
      </c>
      <c r="AK376" s="26">
        <v>1422217.070121123</v>
      </c>
      <c r="AL376" s="26">
        <v>0</v>
      </c>
      <c r="AM376" s="26">
        <v>2326182.990992805</v>
      </c>
      <c r="AN376" s="31">
        <v>260384.89198511466</v>
      </c>
      <c r="AO376" s="32">
        <v>501871.1161524179</v>
      </c>
      <c r="AP376" s="77">
        <f>+N376-'Приложение №2'!E376</f>
        <v>0</v>
      </c>
      <c r="AQ376" s="1">
        <v>386937</v>
      </c>
      <c r="AR376" s="1">
        <f t="shared" si="121"/>
        <v>97899.599999999991</v>
      </c>
      <c r="AS376" s="1">
        <f t="shared" si="138"/>
        <v>3455280</v>
      </c>
      <c r="AT376" s="28">
        <f t="shared" si="124"/>
        <v>0</v>
      </c>
      <c r="AU376" s="28">
        <f>+P376-'[6]Приложение №1'!$P358</f>
        <v>0</v>
      </c>
      <c r="AV376" s="28">
        <f>+Q376-'[6]Приложение №1'!$Q358</f>
        <v>0</v>
      </c>
      <c r="AW376" s="28">
        <f>+R376-'[6]Приложение №1'!$R358</f>
        <v>0</v>
      </c>
      <c r="AX376" s="28">
        <f>+S376-'[6]Приложение №1'!$S358</f>
        <v>0</v>
      </c>
      <c r="AY376" s="28">
        <f>+T376-'[6]Приложение №1'!$T358</f>
        <v>0</v>
      </c>
    </row>
    <row r="377" spans="1:51" x14ac:dyDescent="0.25">
      <c r="A377" s="137">
        <f t="shared" si="137"/>
        <v>359</v>
      </c>
      <c r="B377" s="138">
        <f t="shared" si="137"/>
        <v>171</v>
      </c>
      <c r="C377" s="120" t="s">
        <v>64</v>
      </c>
      <c r="D377" s="120" t="s">
        <v>168</v>
      </c>
      <c r="E377" s="121">
        <v>1970</v>
      </c>
      <c r="F377" s="121">
        <v>2013</v>
      </c>
      <c r="G377" s="121" t="s">
        <v>43</v>
      </c>
      <c r="H377" s="121">
        <v>4</v>
      </c>
      <c r="I377" s="121">
        <v>2</v>
      </c>
      <c r="J377" s="107">
        <v>1437.6</v>
      </c>
      <c r="K377" s="107">
        <v>1362.7</v>
      </c>
      <c r="L377" s="107">
        <v>0</v>
      </c>
      <c r="M377" s="122">
        <v>55</v>
      </c>
      <c r="N377" s="133">
        <f t="shared" si="114"/>
        <v>1465551.9724496503</v>
      </c>
      <c r="O377" s="107"/>
      <c r="P377" s="108"/>
      <c r="Q377" s="108"/>
      <c r="R377" s="108">
        <f t="shared" si="139"/>
        <v>706857.29</v>
      </c>
      <c r="S377" s="108">
        <f>+'Приложение №2'!E377-'Приложение №1'!R377</f>
        <v>758694.68244965025</v>
      </c>
      <c r="T377" s="108">
        <v>0</v>
      </c>
      <c r="U377" s="107">
        <f t="shared" si="136"/>
        <v>1075.476607066596</v>
      </c>
      <c r="V377" s="107">
        <f t="shared" si="136"/>
        <v>1075.476607066596</v>
      </c>
      <c r="W377" s="135">
        <v>2023</v>
      </c>
      <c r="X377" s="28" t="e">
        <f>+#REF!-'[1]Приложение №1'!$P1157</f>
        <v>#REF!</v>
      </c>
      <c r="Z377" s="30">
        <f t="shared" si="140"/>
        <v>1481678.1712512001</v>
      </c>
      <c r="AA377" s="26">
        <v>0</v>
      </c>
      <c r="AB377" s="26">
        <v>0</v>
      </c>
      <c r="AC377" s="26">
        <v>1290473.5299639178</v>
      </c>
      <c r="AD377" s="26">
        <v>0</v>
      </c>
      <c r="AE377" s="26">
        <v>0</v>
      </c>
      <c r="AF377" s="26"/>
      <c r="AG377" s="26">
        <v>0</v>
      </c>
      <c r="AH377" s="26">
        <v>0</v>
      </c>
      <c r="AI377" s="26">
        <v>0</v>
      </c>
      <c r="AJ377" s="26">
        <v>0</v>
      </c>
      <c r="AK377" s="26">
        <v>0</v>
      </c>
      <c r="AL377" s="26">
        <v>0</v>
      </c>
      <c r="AM377" s="26">
        <v>148167.81712512003</v>
      </c>
      <c r="AN377" s="31">
        <v>14816.781712512002</v>
      </c>
      <c r="AO377" s="32">
        <v>28220.042449650358</v>
      </c>
      <c r="AP377" s="77">
        <f>+N377-'Приложение №2'!E377</f>
        <v>0</v>
      </c>
      <c r="AQ377" s="1">
        <v>567861.89</v>
      </c>
      <c r="AR377" s="1">
        <f t="shared" si="121"/>
        <v>138995.4</v>
      </c>
      <c r="AS377" s="1">
        <f t="shared" si="138"/>
        <v>4905720</v>
      </c>
      <c r="AT377" s="28">
        <f t="shared" si="124"/>
        <v>-4147025.31755035</v>
      </c>
      <c r="AU377" s="28">
        <f>+P377-'[6]Приложение №1'!$P359</f>
        <v>0</v>
      </c>
      <c r="AV377" s="28">
        <f>+Q377-'[6]Приложение №1'!$Q359</f>
        <v>0</v>
      </c>
      <c r="AW377" s="28">
        <f>+R377-'[6]Приложение №1'!$R359</f>
        <v>0</v>
      </c>
      <c r="AX377" s="28">
        <f>+S377-'[6]Приложение №1'!$S359</f>
        <v>0</v>
      </c>
      <c r="AY377" s="28">
        <f>+T377-'[6]Приложение №1'!$T359</f>
        <v>0</v>
      </c>
    </row>
    <row r="378" spans="1:51" x14ac:dyDescent="0.25">
      <c r="A378" s="137">
        <f t="shared" ref="A378:B393" si="141">+A377+1</f>
        <v>360</v>
      </c>
      <c r="B378" s="138">
        <f t="shared" si="141"/>
        <v>172</v>
      </c>
      <c r="C378" s="120" t="s">
        <v>64</v>
      </c>
      <c r="D378" s="120" t="s">
        <v>599</v>
      </c>
      <c r="E378" s="121">
        <v>1983</v>
      </c>
      <c r="F378" s="121">
        <v>2013</v>
      </c>
      <c r="G378" s="121" t="s">
        <v>43</v>
      </c>
      <c r="H378" s="121">
        <v>5</v>
      </c>
      <c r="I378" s="121">
        <v>4</v>
      </c>
      <c r="J378" s="107">
        <v>3317.4</v>
      </c>
      <c r="K378" s="107">
        <v>2427.1</v>
      </c>
      <c r="L378" s="107">
        <v>0</v>
      </c>
      <c r="M378" s="122">
        <v>71</v>
      </c>
      <c r="N378" s="133">
        <f t="shared" si="114"/>
        <v>3991090.0004099631</v>
      </c>
      <c r="O378" s="107"/>
      <c r="P378" s="108">
        <v>392663.06000000006</v>
      </c>
      <c r="Q378" s="108"/>
      <c r="R378" s="108">
        <v>774352.37</v>
      </c>
      <c r="S378" s="108">
        <f>+'Приложение №2'!E378-'Приложение №1'!R378-P378</f>
        <v>2824074.5704099629</v>
      </c>
      <c r="T378" s="108">
        <v>0</v>
      </c>
      <c r="U378" s="107">
        <f t="shared" si="136"/>
        <v>1644.3863048123123</v>
      </c>
      <c r="V378" s="107">
        <f t="shared" si="136"/>
        <v>1644.3863048123123</v>
      </c>
      <c r="W378" s="135">
        <v>2023</v>
      </c>
      <c r="X378" s="28" t="e">
        <f>+#REF!-'[1]Приложение №1'!$P789</f>
        <v>#REF!</v>
      </c>
      <c r="Z378" s="30">
        <f t="shared" si="140"/>
        <v>3608535.1470105601</v>
      </c>
      <c r="AA378" s="26">
        <v>0</v>
      </c>
      <c r="AB378" s="26">
        <v>0</v>
      </c>
      <c r="AC378" s="26">
        <v>3142868.1204294348</v>
      </c>
      <c r="AD378" s="26">
        <v>0</v>
      </c>
      <c r="AE378" s="26">
        <v>0</v>
      </c>
      <c r="AF378" s="26"/>
      <c r="AG378" s="26">
        <v>0</v>
      </c>
      <c r="AH378" s="26">
        <v>0</v>
      </c>
      <c r="AI378" s="26">
        <v>0</v>
      </c>
      <c r="AJ378" s="26">
        <v>0</v>
      </c>
      <c r="AK378" s="26">
        <v>0</v>
      </c>
      <c r="AL378" s="26">
        <v>0</v>
      </c>
      <c r="AM378" s="26">
        <v>360853.51470105606</v>
      </c>
      <c r="AN378" s="31">
        <v>36085.351470105605</v>
      </c>
      <c r="AO378" s="32">
        <v>68728.160409963122</v>
      </c>
      <c r="AP378" s="77">
        <f>+N378-'Приложение №2'!E378</f>
        <v>0</v>
      </c>
      <c r="AQ378" s="28">
        <f>701008.17</f>
        <v>701008.17</v>
      </c>
      <c r="AR378" s="1">
        <f t="shared" si="121"/>
        <v>247564.19999999998</v>
      </c>
      <c r="AS378" s="1">
        <f>+(K378*10+L378*20)*12*30</f>
        <v>8737560</v>
      </c>
      <c r="AT378" s="28">
        <f t="shared" si="124"/>
        <v>-5913485.4295900371</v>
      </c>
      <c r="AU378" s="28">
        <f>+P378-'[6]Приложение №1'!$P360</f>
        <v>392663.06000000006</v>
      </c>
      <c r="AV378" s="28">
        <f>+Q378-'[6]Приложение №1'!$Q360</f>
        <v>0</v>
      </c>
      <c r="AW378" s="28">
        <f>+R378-'[6]Приложение №1'!$R360</f>
        <v>418313.52921070822</v>
      </c>
      <c r="AX378" s="28">
        <f>+S378-'[6]Приложение №1'!$S360</f>
        <v>-262840.32921070885</v>
      </c>
      <c r="AY378" s="28">
        <f>+T378-'[6]Приложение №1'!$T360</f>
        <v>0</v>
      </c>
    </row>
    <row r="379" spans="1:51" x14ac:dyDescent="0.25">
      <c r="A379" s="137">
        <f t="shared" si="141"/>
        <v>361</v>
      </c>
      <c r="B379" s="138">
        <f t="shared" si="141"/>
        <v>173</v>
      </c>
      <c r="C379" s="120" t="s">
        <v>64</v>
      </c>
      <c r="D379" s="120" t="s">
        <v>600</v>
      </c>
      <c r="E379" s="121">
        <v>1982</v>
      </c>
      <c r="F379" s="121">
        <v>2013</v>
      </c>
      <c r="G379" s="121" t="s">
        <v>43</v>
      </c>
      <c r="H379" s="121">
        <v>5</v>
      </c>
      <c r="I379" s="121">
        <v>4</v>
      </c>
      <c r="J379" s="107">
        <v>3426.4</v>
      </c>
      <c r="K379" s="107">
        <v>2421.6999999999998</v>
      </c>
      <c r="L379" s="107">
        <v>483.1</v>
      </c>
      <c r="M379" s="122">
        <v>77</v>
      </c>
      <c r="N379" s="133">
        <f t="shared" si="114"/>
        <v>3592563.7737581315</v>
      </c>
      <c r="O379" s="107"/>
      <c r="P379" s="108"/>
      <c r="Q379" s="108"/>
      <c r="R379" s="108">
        <f t="shared" si="139"/>
        <v>1654968.55</v>
      </c>
      <c r="S379" s="108">
        <f>+'Приложение №2'!E379-'Приложение №1'!R379</f>
        <v>1937595.2237581315</v>
      </c>
      <c r="T379" s="108">
        <v>0</v>
      </c>
      <c r="U379" s="107">
        <f t="shared" si="136"/>
        <v>1236.7680300737165</v>
      </c>
      <c r="V379" s="107">
        <f t="shared" si="136"/>
        <v>1236.7680300737165</v>
      </c>
      <c r="W379" s="135">
        <v>2023</v>
      </c>
      <c r="X379" s="28" t="e">
        <f>+#REF!-'[1]Приложение №1'!$P790</f>
        <v>#REF!</v>
      </c>
      <c r="Z379" s="30">
        <f t="shared" si="140"/>
        <v>3753836.1733766408</v>
      </c>
      <c r="AA379" s="26">
        <v>0</v>
      </c>
      <c r="AB379" s="26">
        <v>0</v>
      </c>
      <c r="AC379" s="26">
        <v>3269418.6305470788</v>
      </c>
      <c r="AD379" s="26">
        <v>0</v>
      </c>
      <c r="AE379" s="26">
        <v>0</v>
      </c>
      <c r="AF379" s="26"/>
      <c r="AG379" s="26">
        <v>0</v>
      </c>
      <c r="AH379" s="26">
        <v>0</v>
      </c>
      <c r="AI379" s="26">
        <v>0</v>
      </c>
      <c r="AJ379" s="26">
        <v>0</v>
      </c>
      <c r="AK379" s="26">
        <v>0</v>
      </c>
      <c r="AL379" s="26">
        <v>0</v>
      </c>
      <c r="AM379" s="26">
        <v>375383.61733766412</v>
      </c>
      <c r="AN379" s="31">
        <v>37538.361733766411</v>
      </c>
      <c r="AO379" s="32">
        <v>71495.56375813151</v>
      </c>
      <c r="AP379" s="77">
        <f>+N379-'Приложение №2'!E379</f>
        <v>0</v>
      </c>
      <c r="AQ379" s="1">
        <v>1309402.75</v>
      </c>
      <c r="AR379" s="1">
        <f t="shared" si="121"/>
        <v>345565.8</v>
      </c>
      <c r="AS379" s="1">
        <f t="shared" ref="AS379:AS384" si="142">+(K379*10+L379*20)*12*30</f>
        <v>12196440</v>
      </c>
      <c r="AT379" s="28">
        <f t="shared" si="124"/>
        <v>-10258844.776241869</v>
      </c>
      <c r="AU379" s="28">
        <f>+P379-'[6]Приложение №1'!$P361</f>
        <v>0</v>
      </c>
      <c r="AV379" s="28">
        <f>+Q379-'[6]Приложение №1'!$Q361</f>
        <v>0</v>
      </c>
      <c r="AW379" s="28">
        <f>+R379-'[6]Приложение №1'!$R361</f>
        <v>0</v>
      </c>
      <c r="AX379" s="28">
        <f>+S379-'[6]Приложение №1'!$S361</f>
        <v>0</v>
      </c>
      <c r="AY379" s="28">
        <f>+T379-'[6]Приложение №1'!$T361</f>
        <v>0</v>
      </c>
    </row>
    <row r="380" spans="1:51" x14ac:dyDescent="0.25">
      <c r="A380" s="137">
        <f t="shared" si="141"/>
        <v>362</v>
      </c>
      <c r="B380" s="138">
        <f t="shared" si="141"/>
        <v>174</v>
      </c>
      <c r="C380" s="120" t="s">
        <v>64</v>
      </c>
      <c r="D380" s="120" t="s">
        <v>601</v>
      </c>
      <c r="E380" s="121">
        <v>1975</v>
      </c>
      <c r="F380" s="121"/>
      <c r="G380" s="121" t="s">
        <v>43</v>
      </c>
      <c r="H380" s="121">
        <v>4</v>
      </c>
      <c r="I380" s="121">
        <v>3</v>
      </c>
      <c r="J380" s="107">
        <v>2248.5</v>
      </c>
      <c r="K380" s="107">
        <v>1870.6</v>
      </c>
      <c r="L380" s="107">
        <v>291.10000000000002</v>
      </c>
      <c r="M380" s="122">
        <v>72</v>
      </c>
      <c r="N380" s="133">
        <f t="shared" si="114"/>
        <v>640276.6</v>
      </c>
      <c r="O380" s="107"/>
      <c r="P380" s="108">
        <f>+'[7]Приложение №2'!E364-'[7]Приложение №1'!R364-'[7]Приложение №1'!S364</f>
        <v>0</v>
      </c>
      <c r="Q380" s="108"/>
      <c r="R380" s="108">
        <f>+'Приложение №2'!E380</f>
        <v>640276.6</v>
      </c>
      <c r="S380" s="108"/>
      <c r="T380" s="108"/>
      <c r="U380" s="107">
        <f t="shared" si="136"/>
        <v>296.19123837720315</v>
      </c>
      <c r="V380" s="107">
        <f t="shared" si="136"/>
        <v>296.19123837720315</v>
      </c>
      <c r="W380" s="135">
        <v>2023</v>
      </c>
      <c r="X380" s="28"/>
      <c r="Z380" s="30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31"/>
      <c r="AO380" s="32"/>
      <c r="AP380" s="77">
        <f>+N380-'Приложение №2'!E380</f>
        <v>0</v>
      </c>
      <c r="AQ380" s="23">
        <v>1340374.7</v>
      </c>
      <c r="AR380" s="1">
        <f t="shared" si="121"/>
        <v>250185.60000000001</v>
      </c>
      <c r="AS380" s="1">
        <f t="shared" si="142"/>
        <v>8830080</v>
      </c>
      <c r="AT380" s="28">
        <f t="shared" si="124"/>
        <v>-8830080</v>
      </c>
    </row>
    <row r="381" spans="1:51" x14ac:dyDescent="0.25">
      <c r="A381" s="137">
        <f t="shared" si="141"/>
        <v>363</v>
      </c>
      <c r="B381" s="138">
        <f t="shared" si="141"/>
        <v>175</v>
      </c>
      <c r="C381" s="120" t="s">
        <v>64</v>
      </c>
      <c r="D381" s="120" t="s">
        <v>169</v>
      </c>
      <c r="E381" s="121">
        <v>1974</v>
      </c>
      <c r="F381" s="121">
        <v>2013</v>
      </c>
      <c r="G381" s="121" t="s">
        <v>43</v>
      </c>
      <c r="H381" s="121">
        <v>4</v>
      </c>
      <c r="I381" s="121">
        <v>3</v>
      </c>
      <c r="J381" s="107">
        <v>2238.1999999999998</v>
      </c>
      <c r="K381" s="107">
        <v>2068.4499999999998</v>
      </c>
      <c r="L381" s="107">
        <v>0</v>
      </c>
      <c r="M381" s="122">
        <v>74</v>
      </c>
      <c r="N381" s="133">
        <f t="shared" si="114"/>
        <v>3127146.275568313</v>
      </c>
      <c r="O381" s="107"/>
      <c r="P381" s="108"/>
      <c r="Q381" s="108"/>
      <c r="R381" s="108">
        <f>+AQ381+AR381</f>
        <v>841384.12</v>
      </c>
      <c r="S381" s="108">
        <f>+'Приложение №2'!E381-'Приложение №1'!R381</f>
        <v>2285762.1555683129</v>
      </c>
      <c r="T381" s="108">
        <v>0</v>
      </c>
      <c r="U381" s="107">
        <f t="shared" ref="U381:V399" si="143">$N381/($K381+$L381)</f>
        <v>1511.8307310151627</v>
      </c>
      <c r="V381" s="107">
        <f t="shared" si="143"/>
        <v>1511.8307310151627</v>
      </c>
      <c r="W381" s="135">
        <v>2023</v>
      </c>
      <c r="X381" s="28" t="e">
        <f>+#REF!-'[1]Приложение №1'!$P1158</f>
        <v>#REF!</v>
      </c>
      <c r="Z381" s="30">
        <f>SUM(AA381:AO381)</f>
        <v>3125330.0203881604</v>
      </c>
      <c r="AA381" s="26">
        <v>0</v>
      </c>
      <c r="AB381" s="26">
        <v>0</v>
      </c>
      <c r="AC381" s="26">
        <v>2722018.6825771499</v>
      </c>
      <c r="AD381" s="26">
        <v>0</v>
      </c>
      <c r="AE381" s="26">
        <v>0</v>
      </c>
      <c r="AF381" s="26"/>
      <c r="AG381" s="26">
        <v>0</v>
      </c>
      <c r="AH381" s="26">
        <v>0</v>
      </c>
      <c r="AI381" s="26">
        <v>0</v>
      </c>
      <c r="AJ381" s="26">
        <v>0</v>
      </c>
      <c r="AK381" s="26">
        <v>0</v>
      </c>
      <c r="AL381" s="26">
        <v>0</v>
      </c>
      <c r="AM381" s="26">
        <v>312533.00203881605</v>
      </c>
      <c r="AN381" s="31">
        <v>31253.300203881605</v>
      </c>
      <c r="AO381" s="32">
        <v>59525.035568312909</v>
      </c>
      <c r="AP381" s="77">
        <f>+N381-'Приложение №2'!E381</f>
        <v>0</v>
      </c>
      <c r="AQ381" s="1">
        <v>630402.22</v>
      </c>
      <c r="AR381" s="1">
        <f t="shared" si="121"/>
        <v>210981.9</v>
      </c>
      <c r="AS381" s="1">
        <f t="shared" si="142"/>
        <v>7446420</v>
      </c>
      <c r="AT381" s="28">
        <f t="shared" si="124"/>
        <v>-5160657.8444316871</v>
      </c>
      <c r="AU381" s="28">
        <f>+P381-'[6]Приложение №1'!$P362</f>
        <v>0</v>
      </c>
      <c r="AV381" s="28">
        <f>+Q381-'[6]Приложение №1'!$Q362</f>
        <v>0</v>
      </c>
      <c r="AW381" s="28">
        <f>+R381-'[6]Приложение №1'!$R362</f>
        <v>0</v>
      </c>
      <c r="AX381" s="28">
        <f>+S381-'[6]Приложение №1'!$S362</f>
        <v>0</v>
      </c>
      <c r="AY381" s="28">
        <f>+T381-'[6]Приложение №1'!$T363</f>
        <v>0</v>
      </c>
    </row>
    <row r="382" spans="1:51" x14ac:dyDescent="0.25">
      <c r="A382" s="137">
        <f t="shared" si="141"/>
        <v>364</v>
      </c>
      <c r="B382" s="138">
        <f t="shared" si="141"/>
        <v>176</v>
      </c>
      <c r="C382" s="120" t="s">
        <v>64</v>
      </c>
      <c r="D382" s="120" t="s">
        <v>602</v>
      </c>
      <c r="E382" s="121">
        <v>1976</v>
      </c>
      <c r="F382" s="121"/>
      <c r="G382" s="121" t="s">
        <v>43</v>
      </c>
      <c r="H382" s="121">
        <v>4</v>
      </c>
      <c r="I382" s="121">
        <v>6</v>
      </c>
      <c r="J382" s="107">
        <v>4614</v>
      </c>
      <c r="K382" s="107">
        <v>4270.7</v>
      </c>
      <c r="L382" s="107">
        <v>0</v>
      </c>
      <c r="M382" s="122">
        <v>148</v>
      </c>
      <c r="N382" s="133">
        <f t="shared" si="114"/>
        <v>1357157.63</v>
      </c>
      <c r="O382" s="107"/>
      <c r="P382" s="108">
        <f>+'[7]Приложение №2'!E365-'[7]Приложение №1'!R365-'[7]Приложение №1'!S365</f>
        <v>0</v>
      </c>
      <c r="Q382" s="108"/>
      <c r="R382" s="108">
        <f>+'Приложение №2'!E382</f>
        <v>1357157.63</v>
      </c>
      <c r="S382" s="108"/>
      <c r="T382" s="108"/>
      <c r="U382" s="107">
        <f t="shared" si="143"/>
        <v>317.78341489685528</v>
      </c>
      <c r="V382" s="107">
        <f t="shared" si="143"/>
        <v>317.78341489685528</v>
      </c>
      <c r="W382" s="135">
        <v>2023</v>
      </c>
      <c r="X382" s="28"/>
      <c r="Z382" s="30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31"/>
      <c r="AO382" s="32"/>
      <c r="AP382" s="77">
        <f>+N382-'Приложение №2'!E382</f>
        <v>0</v>
      </c>
      <c r="AQ382" s="23">
        <v>2376571.59</v>
      </c>
      <c r="AR382" s="1">
        <f t="shared" si="121"/>
        <v>435611.39999999997</v>
      </c>
      <c r="AS382" s="1">
        <f t="shared" si="142"/>
        <v>15374520</v>
      </c>
      <c r="AT382" s="28">
        <f t="shared" si="124"/>
        <v>-15374520</v>
      </c>
      <c r="AU382" s="28"/>
    </row>
    <row r="383" spans="1:51" x14ac:dyDescent="0.25">
      <c r="A383" s="137">
        <f t="shared" si="141"/>
        <v>365</v>
      </c>
      <c r="B383" s="138">
        <f t="shared" si="141"/>
        <v>177</v>
      </c>
      <c r="C383" s="120" t="s">
        <v>64</v>
      </c>
      <c r="D383" s="120" t="s">
        <v>603</v>
      </c>
      <c r="E383" s="121">
        <v>1981</v>
      </c>
      <c r="F383" s="121"/>
      <c r="G383" s="121" t="s">
        <v>43</v>
      </c>
      <c r="H383" s="121">
        <v>5</v>
      </c>
      <c r="I383" s="121">
        <v>4</v>
      </c>
      <c r="J383" s="107">
        <v>3315.7</v>
      </c>
      <c r="K383" s="107">
        <v>2406</v>
      </c>
      <c r="L383" s="107">
        <v>444.3</v>
      </c>
      <c r="M383" s="122">
        <v>83</v>
      </c>
      <c r="N383" s="133">
        <f t="shared" si="114"/>
        <v>530132.51</v>
      </c>
      <c r="O383" s="107"/>
      <c r="P383" s="108">
        <f>+'[7]Приложение №2'!E366-'[7]Приложение №1'!R366-'[7]Приложение №1'!S366</f>
        <v>0</v>
      </c>
      <c r="Q383" s="108"/>
      <c r="R383" s="108">
        <f>+'Приложение №2'!E383</f>
        <v>530132.51</v>
      </c>
      <c r="S383" s="108"/>
      <c r="T383" s="108"/>
      <c r="U383" s="107">
        <f t="shared" si="143"/>
        <v>185.99182893028802</v>
      </c>
      <c r="V383" s="107">
        <f t="shared" si="143"/>
        <v>185.99182893028802</v>
      </c>
      <c r="W383" s="135">
        <v>2023</v>
      </c>
      <c r="X383" s="28"/>
      <c r="Z383" s="30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31"/>
      <c r="AO383" s="32"/>
      <c r="AP383" s="77">
        <f>+N383-'Приложение №2'!E383</f>
        <v>0</v>
      </c>
      <c r="AQ383" s="23">
        <v>1793143.38</v>
      </c>
      <c r="AR383" s="1">
        <f t="shared" si="121"/>
        <v>336049.2</v>
      </c>
      <c r="AS383" s="1">
        <f t="shared" si="142"/>
        <v>11860560</v>
      </c>
      <c r="AT383" s="28">
        <f t="shared" si="124"/>
        <v>-11860560</v>
      </c>
      <c r="AU383" s="28"/>
    </row>
    <row r="384" spans="1:51" x14ac:dyDescent="0.25">
      <c r="A384" s="137">
        <f t="shared" si="141"/>
        <v>366</v>
      </c>
      <c r="B384" s="138">
        <f t="shared" si="141"/>
        <v>178</v>
      </c>
      <c r="C384" s="120" t="s">
        <v>55</v>
      </c>
      <c r="D384" s="120" t="s">
        <v>584</v>
      </c>
      <c r="E384" s="121">
        <v>1976</v>
      </c>
      <c r="F384" s="121">
        <v>1976</v>
      </c>
      <c r="G384" s="121" t="s">
        <v>43</v>
      </c>
      <c r="H384" s="121">
        <v>3</v>
      </c>
      <c r="I384" s="121">
        <v>4</v>
      </c>
      <c r="J384" s="107">
        <v>2192.3000000000002</v>
      </c>
      <c r="K384" s="107">
        <v>2028.1</v>
      </c>
      <c r="L384" s="107">
        <v>0</v>
      </c>
      <c r="M384" s="122">
        <v>85</v>
      </c>
      <c r="N384" s="133">
        <f t="shared" si="114"/>
        <v>3025771.3497837</v>
      </c>
      <c r="O384" s="107"/>
      <c r="P384" s="108"/>
      <c r="Q384" s="108"/>
      <c r="R384" s="108">
        <f>+AQ384+AR384</f>
        <v>1127247.27</v>
      </c>
      <c r="S384" s="108">
        <f>+'Приложение №2'!E384-'Приложение №1'!P384-'Приложение №1'!Q384-'Приложение №1'!R384</f>
        <v>1898524.0797836999</v>
      </c>
      <c r="T384" s="108"/>
      <c r="U384" s="107">
        <f t="shared" si="143"/>
        <v>1491.924140714807</v>
      </c>
      <c r="V384" s="107">
        <f t="shared" si="143"/>
        <v>1491.924140714807</v>
      </c>
      <c r="W384" s="135">
        <v>2023</v>
      </c>
      <c r="X384" s="28" t="e">
        <f>+#REF!-'[1]Приложение №1'!$P688</f>
        <v>#REF!</v>
      </c>
      <c r="Z384" s="30">
        <f>SUM(AA384:AO384)</f>
        <v>31013862.251715004</v>
      </c>
      <c r="AA384" s="26">
        <v>0</v>
      </c>
      <c r="AB384" s="26">
        <v>0</v>
      </c>
      <c r="AC384" s="26">
        <v>0</v>
      </c>
      <c r="AD384" s="26">
        <v>0</v>
      </c>
      <c r="AE384" s="26">
        <v>0</v>
      </c>
      <c r="AF384" s="26"/>
      <c r="AG384" s="26">
        <v>0</v>
      </c>
      <c r="AH384" s="26">
        <v>0</v>
      </c>
      <c r="AI384" s="26"/>
      <c r="AJ384" s="26">
        <v>0</v>
      </c>
      <c r="AK384" s="26">
        <v>0</v>
      </c>
      <c r="AL384" s="26">
        <v>23285097.547431301</v>
      </c>
      <c r="AM384" s="26">
        <v>5902452.2175000003</v>
      </c>
      <c r="AN384" s="31">
        <v>626122.28700000001</v>
      </c>
      <c r="AO384" s="32">
        <v>1200190.1997837001</v>
      </c>
      <c r="AP384" s="77">
        <f>+N384-'Приложение №2'!E384</f>
        <v>0</v>
      </c>
      <c r="AQ384" s="1">
        <v>920381.07</v>
      </c>
      <c r="AR384" s="1">
        <f t="shared" si="121"/>
        <v>206866.19999999998</v>
      </c>
      <c r="AS384" s="1">
        <f t="shared" si="142"/>
        <v>7301160</v>
      </c>
      <c r="AT384" s="28">
        <f t="shared" si="124"/>
        <v>-5402635.9202162996</v>
      </c>
      <c r="AU384" s="28">
        <f>+P384-'[6]Приложение №1'!$P363</f>
        <v>0</v>
      </c>
      <c r="AV384" s="28">
        <f>+Q384-'[6]Приложение №1'!$Q363</f>
        <v>0</v>
      </c>
      <c r="AW384" s="28">
        <f>+R384-'[6]Приложение №1'!$R363</f>
        <v>0</v>
      </c>
      <c r="AX384" s="28">
        <f>+S384-'[6]Приложение №1'!$S363</f>
        <v>0</v>
      </c>
      <c r="AY384" s="28">
        <f>+T384-'[6]Приложение №1'!$T363</f>
        <v>0</v>
      </c>
    </row>
    <row r="385" spans="1:51" x14ac:dyDescent="0.25">
      <c r="A385" s="137">
        <f t="shared" si="141"/>
        <v>367</v>
      </c>
      <c r="B385" s="138">
        <f t="shared" si="141"/>
        <v>179</v>
      </c>
      <c r="C385" s="120" t="s">
        <v>55</v>
      </c>
      <c r="D385" s="120" t="s">
        <v>170</v>
      </c>
      <c r="E385" s="121">
        <v>1974</v>
      </c>
      <c r="F385" s="121">
        <v>1974</v>
      </c>
      <c r="G385" s="121" t="s">
        <v>43</v>
      </c>
      <c r="H385" s="121">
        <v>2</v>
      </c>
      <c r="I385" s="121">
        <v>2</v>
      </c>
      <c r="J385" s="107">
        <v>473.3</v>
      </c>
      <c r="K385" s="107">
        <v>438.4</v>
      </c>
      <c r="L385" s="107">
        <v>0</v>
      </c>
      <c r="M385" s="122">
        <v>9</v>
      </c>
      <c r="N385" s="133">
        <f t="shared" si="114"/>
        <v>1422083.6099999999</v>
      </c>
      <c r="O385" s="107"/>
      <c r="P385" s="108">
        <v>707152.37000000011</v>
      </c>
      <c r="Q385" s="108"/>
      <c r="R385" s="108">
        <f>+AQ385+AR385-101353.8</f>
        <v>34758.819999999992</v>
      </c>
      <c r="S385" s="108">
        <f>+AS385</f>
        <v>677581.02</v>
      </c>
      <c r="T385" s="108">
        <f>+'Приложение №2'!E385-'Приложение №1'!P385-'Приложение №1'!Q385-'Приложение №1'!R385-'Приложение №1'!S385</f>
        <v>2591.4000000000233</v>
      </c>
      <c r="U385" s="107">
        <f t="shared" si="143"/>
        <v>3243.8038549270073</v>
      </c>
      <c r="V385" s="107">
        <f t="shared" si="143"/>
        <v>3243.8038549270073</v>
      </c>
      <c r="W385" s="135">
        <v>2023</v>
      </c>
      <c r="X385" s="28" t="e">
        <f>+#REF!-'[1]Приложение №1'!$P1765</f>
        <v>#REF!</v>
      </c>
      <c r="Z385" s="30">
        <f>SUM(AA385:AO385)</f>
        <v>1576901.3985240001</v>
      </c>
      <c r="AA385" s="26"/>
      <c r="AB385" s="26"/>
      <c r="AC385" s="26">
        <v>758098.38</v>
      </c>
      <c r="AD385" s="26">
        <v>627792.72</v>
      </c>
      <c r="AE385" s="26">
        <v>0</v>
      </c>
      <c r="AF385" s="26"/>
      <c r="AG385" s="26">
        <v>154817.788524</v>
      </c>
      <c r="AH385" s="26">
        <v>0</v>
      </c>
      <c r="AI385" s="26"/>
      <c r="AJ385" s="26">
        <v>0</v>
      </c>
      <c r="AK385" s="26">
        <v>0</v>
      </c>
      <c r="AL385" s="26">
        <v>0</v>
      </c>
      <c r="AO385" s="32">
        <v>36192.51</v>
      </c>
      <c r="AP385" s="77">
        <f>+N385-'Приложение №2'!E385</f>
        <v>0</v>
      </c>
      <c r="AQ385" s="1">
        <v>91395.82</v>
      </c>
      <c r="AR385" s="1">
        <f t="shared" si="121"/>
        <v>44716.799999999996</v>
      </c>
      <c r="AS385" s="1">
        <f>+(K385*10+L385*20)*12*30-900658.98</f>
        <v>677581.02</v>
      </c>
      <c r="AT385" s="28">
        <f t="shared" si="124"/>
        <v>0</v>
      </c>
      <c r="AU385" s="28">
        <f>+P385-'[6]Приложение №1'!$P364</f>
        <v>0</v>
      </c>
      <c r="AV385" s="28">
        <f>+Q385-'[6]Приложение №1'!$Q364</f>
        <v>0</v>
      </c>
      <c r="AW385" s="28">
        <f>+R385-'[6]Приложение №1'!$R364</f>
        <v>0</v>
      </c>
      <c r="AX385" s="28">
        <f>+S385-'[6]Приложение №1'!$S364</f>
        <v>0</v>
      </c>
      <c r="AY385" s="28">
        <f>+T385-'[6]Приложение №1'!$T364</f>
        <v>0</v>
      </c>
    </row>
    <row r="386" spans="1:51" x14ac:dyDescent="0.25">
      <c r="A386" s="137">
        <f t="shared" si="141"/>
        <v>368</v>
      </c>
      <c r="B386" s="138">
        <f t="shared" si="141"/>
        <v>180</v>
      </c>
      <c r="C386" s="120" t="s">
        <v>55</v>
      </c>
      <c r="D386" s="120" t="s">
        <v>583</v>
      </c>
      <c r="E386" s="121">
        <v>1977</v>
      </c>
      <c r="F386" s="121">
        <v>1977</v>
      </c>
      <c r="G386" s="121" t="s">
        <v>43</v>
      </c>
      <c r="H386" s="121">
        <v>5</v>
      </c>
      <c r="I386" s="121">
        <v>1</v>
      </c>
      <c r="J386" s="107">
        <v>1730.3</v>
      </c>
      <c r="K386" s="107">
        <v>1456.4</v>
      </c>
      <c r="L386" s="107">
        <v>0</v>
      </c>
      <c r="M386" s="122">
        <v>49</v>
      </c>
      <c r="N386" s="133">
        <f t="shared" si="114"/>
        <v>17842345.117532</v>
      </c>
      <c r="O386" s="107"/>
      <c r="P386" s="108">
        <v>4292023.99</v>
      </c>
      <c r="Q386" s="108"/>
      <c r="R386" s="108">
        <f>+AQ386+AR386</f>
        <v>1315.7999999999884</v>
      </c>
      <c r="S386" s="108">
        <f>+AS386</f>
        <v>3789794.2800000003</v>
      </c>
      <c r="T386" s="108">
        <f>+'Приложение №2'!E386-'Приложение №1'!P386-'Приложение №1'!Q386-'Приложение №1'!R386-'Приложение №1'!S386</f>
        <v>9759211.0475319996</v>
      </c>
      <c r="U386" s="107">
        <f t="shared" si="143"/>
        <v>12250.992253180444</v>
      </c>
      <c r="V386" s="107">
        <f t="shared" si="143"/>
        <v>12250.992253180444</v>
      </c>
      <c r="W386" s="135">
        <v>2023</v>
      </c>
      <c r="X386" s="28" t="e">
        <f>+#REF!-'[1]Приложение №1'!$P1012</f>
        <v>#REF!</v>
      </c>
      <c r="Z386" s="30">
        <f>SUM(AA386:AO386)</f>
        <v>38072067.120000005</v>
      </c>
      <c r="AA386" s="26">
        <v>4710479.1050062198</v>
      </c>
      <c r="AB386" s="26">
        <v>2176226.3089270201</v>
      </c>
      <c r="AC386" s="26">
        <v>2204614.3839224395</v>
      </c>
      <c r="AD386" s="26">
        <v>1424137.1203432798</v>
      </c>
      <c r="AE386" s="26">
        <v>0</v>
      </c>
      <c r="AF386" s="26"/>
      <c r="AG386" s="26">
        <v>146063.50321331999</v>
      </c>
      <c r="AH386" s="26">
        <v>0</v>
      </c>
      <c r="AI386" s="26">
        <v>11068738.746596999</v>
      </c>
      <c r="AJ386" s="26">
        <v>0</v>
      </c>
      <c r="AK386" s="26">
        <v>5717896.3951359605</v>
      </c>
      <c r="AL386" s="26">
        <v>5901111.3759779995</v>
      </c>
      <c r="AM386" s="26">
        <v>3612798.5854000002</v>
      </c>
      <c r="AN386" s="31">
        <v>380720.67119999998</v>
      </c>
      <c r="AO386" s="32">
        <v>729280.92427675996</v>
      </c>
      <c r="AP386" s="77">
        <f>+N386-'Приложение №2'!E386</f>
        <v>0</v>
      </c>
      <c r="AQ386" s="28">
        <f>590020.37-R145</f>
        <v>-147237</v>
      </c>
      <c r="AR386" s="1">
        <f t="shared" si="121"/>
        <v>148552.79999999999</v>
      </c>
      <c r="AS386" s="1">
        <f>+(K386*10+L386*20)*12*30-S145</f>
        <v>3789794.2800000003</v>
      </c>
      <c r="AT386" s="28">
        <f t="shared" si="124"/>
        <v>0</v>
      </c>
      <c r="AU386" s="28">
        <f>+P386-'[6]Приложение №1'!$P365</f>
        <v>1175975.3924680008</v>
      </c>
      <c r="AV386" s="28">
        <f>+Q386-'[6]Приложение №1'!$Q365</f>
        <v>0</v>
      </c>
      <c r="AW386" s="28">
        <f>+R386-'[6]Приложение №1'!$R365</f>
        <v>-735941.57000000007</v>
      </c>
      <c r="AX386" s="28">
        <f>+S386-'[6]Приложение №1'!$S365</f>
        <v>-1453245.7199999997</v>
      </c>
      <c r="AY386" s="28">
        <f>+T386-'[6]Приложение №1'!$T365</f>
        <v>9759211.0475319996</v>
      </c>
    </row>
    <row r="387" spans="1:51" x14ac:dyDescent="0.25">
      <c r="A387" s="137">
        <f t="shared" si="141"/>
        <v>369</v>
      </c>
      <c r="B387" s="138">
        <f t="shared" si="141"/>
        <v>181</v>
      </c>
      <c r="C387" s="120" t="s">
        <v>65</v>
      </c>
      <c r="D387" s="120" t="s">
        <v>585</v>
      </c>
      <c r="E387" s="121">
        <v>1984</v>
      </c>
      <c r="F387" s="121">
        <v>1984</v>
      </c>
      <c r="G387" s="121" t="s">
        <v>43</v>
      </c>
      <c r="H387" s="121">
        <v>5</v>
      </c>
      <c r="I387" s="121">
        <v>4</v>
      </c>
      <c r="J387" s="107">
        <v>3359.4</v>
      </c>
      <c r="K387" s="107">
        <v>2391.8000000000002</v>
      </c>
      <c r="L387" s="107">
        <v>553.20000000000005</v>
      </c>
      <c r="M387" s="122">
        <v>62</v>
      </c>
      <c r="N387" s="133">
        <f t="shared" si="114"/>
        <v>27822893.387377337</v>
      </c>
      <c r="O387" s="107"/>
      <c r="P387" s="108">
        <v>16894819.510000002</v>
      </c>
      <c r="Q387" s="108"/>
      <c r="R387" s="108">
        <f>+AQ387+AR387</f>
        <v>974902.84999999986</v>
      </c>
      <c r="S387" s="108">
        <f>+AS387</f>
        <v>3807576.75</v>
      </c>
      <c r="T387" s="108">
        <f>+'Приложение №2'!E387-'Приложение №1'!P387-'Приложение №1'!Q387-'Приложение №1'!R387-'Приложение №1'!S387</f>
        <v>6145594.2773773316</v>
      </c>
      <c r="U387" s="107">
        <f t="shared" si="143"/>
        <v>9447.5019991094523</v>
      </c>
      <c r="V387" s="107">
        <f t="shared" si="143"/>
        <v>9447.5019991094523</v>
      </c>
      <c r="W387" s="135">
        <v>2023</v>
      </c>
      <c r="X387" s="28" t="e">
        <f>+#REF!-'[1]Приложение №1'!$P1765</f>
        <v>#REF!</v>
      </c>
      <c r="Z387" s="30">
        <f>SUM(AA387:AO387)</f>
        <v>24399375.708956141</v>
      </c>
      <c r="AA387" s="26">
        <v>0</v>
      </c>
      <c r="AB387" s="26">
        <v>0</v>
      </c>
      <c r="AC387" s="26">
        <v>0</v>
      </c>
      <c r="AD387" s="26">
        <v>0</v>
      </c>
      <c r="AE387" s="26">
        <v>0</v>
      </c>
      <c r="AF387" s="26"/>
      <c r="AG387" s="26">
        <v>0</v>
      </c>
      <c r="AH387" s="26">
        <v>0</v>
      </c>
      <c r="AI387" s="26">
        <v>0</v>
      </c>
      <c r="AJ387" s="26">
        <v>0</v>
      </c>
      <c r="AK387" s="26">
        <v>10229706.1</v>
      </c>
      <c r="AL387" s="26">
        <v>13577874.103206001</v>
      </c>
      <c r="AM387" s="26">
        <v>258631.32</v>
      </c>
      <c r="AN387" s="26">
        <v>39488.83</v>
      </c>
      <c r="AO387" s="32">
        <v>293675.35575013998</v>
      </c>
      <c r="AP387" s="77">
        <f>+N387-'Приложение №2'!E387</f>
        <v>0</v>
      </c>
      <c r="AQ387" s="28">
        <f>1110865.63-R146</f>
        <v>618086.44999999995</v>
      </c>
      <c r="AR387" s="1">
        <f t="shared" si="121"/>
        <v>356816.39999999997</v>
      </c>
      <c r="AS387" s="1">
        <f>+(K387*10+L387*20)*12*30-3112059.45-S146</f>
        <v>3807576.75</v>
      </c>
      <c r="AT387" s="28">
        <f t="shared" si="124"/>
        <v>0</v>
      </c>
      <c r="AU387" s="28">
        <f>+P387-'[6]Приложение №1'!$P366</f>
        <v>8638367.2190780006</v>
      </c>
      <c r="AV387" s="28">
        <f>+Q387-'[6]Приложение №1'!$Q366</f>
        <v>0</v>
      </c>
      <c r="AW387" s="28">
        <f>+R387-'[6]Приложение №1'!$R366</f>
        <v>-1.0000000009313226E-2</v>
      </c>
      <c r="AX387" s="28">
        <f>+S387-'[6]Приложение №1'!$S366</f>
        <v>-2145835.5664553307</v>
      </c>
      <c r="AY387" s="28">
        <f>+T387-'[6]Приложение №1'!$T366</f>
        <v>6145594.2773773316</v>
      </c>
    </row>
    <row r="388" spans="1:51" s="87" customFormat="1" x14ac:dyDescent="0.25">
      <c r="A388" s="137">
        <f t="shared" si="141"/>
        <v>370</v>
      </c>
      <c r="B388" s="138">
        <f t="shared" si="141"/>
        <v>182</v>
      </c>
      <c r="C388" s="120" t="s">
        <v>45</v>
      </c>
      <c r="D388" s="120" t="s">
        <v>161</v>
      </c>
      <c r="E388" s="121" t="s">
        <v>108</v>
      </c>
      <c r="F388" s="121"/>
      <c r="G388" s="121" t="s">
        <v>43</v>
      </c>
      <c r="H388" s="121" t="s">
        <v>104</v>
      </c>
      <c r="I388" s="121" t="s">
        <v>101</v>
      </c>
      <c r="J388" s="107">
        <v>6010.4</v>
      </c>
      <c r="K388" s="107">
        <v>4246.1000000000004</v>
      </c>
      <c r="L388" s="107">
        <v>999.9</v>
      </c>
      <c r="M388" s="122">
        <v>135</v>
      </c>
      <c r="N388" s="133">
        <f t="shared" si="114"/>
        <v>60130999.272533476</v>
      </c>
      <c r="O388" s="107">
        <v>0</v>
      </c>
      <c r="P388" s="108">
        <v>0</v>
      </c>
      <c r="Q388" s="107">
        <v>1821800</v>
      </c>
      <c r="R388" s="108">
        <f t="shared" ref="R388:R392" si="144">+AQ388+AR388</f>
        <v>4098343.92</v>
      </c>
      <c r="S388" s="108">
        <v>19373180.550000001</v>
      </c>
      <c r="T388" s="108">
        <f>+'Приложение №2'!E388-'Приложение №1'!P388-'Приложение №1'!Q388-'Приложение №1'!R388-'Приложение №1'!S388</f>
        <v>34837674.802533478</v>
      </c>
      <c r="U388" s="107">
        <f t="shared" si="143"/>
        <v>11462.256819011338</v>
      </c>
      <c r="V388" s="107">
        <f t="shared" si="143"/>
        <v>11462.256819011338</v>
      </c>
      <c r="W388" s="135">
        <v>2023</v>
      </c>
      <c r="X388" s="87">
        <v>2132659.2599999998</v>
      </c>
      <c r="Y388" s="87">
        <f>+(K388*9.1+L388*18.19)*12</f>
        <v>681932.29200000013</v>
      </c>
      <c r="AA388" s="89">
        <f>+N388-'[10]Приложение № 2'!E359</f>
        <v>43349216.702533476</v>
      </c>
      <c r="AD388" s="91">
        <f>+N388-'[10]Приложение № 2'!E359</f>
        <v>43349216.702533476</v>
      </c>
      <c r="AP388" s="77">
        <f>+N388-'Приложение №2'!E388</f>
        <v>0</v>
      </c>
      <c r="AQ388" s="23">
        <v>3461262.12</v>
      </c>
      <c r="AR388" s="1">
        <f t="shared" si="121"/>
        <v>637081.79999999993</v>
      </c>
      <c r="AS388" s="1">
        <f>+(K388*10+L388*20)*12*30</f>
        <v>22485240</v>
      </c>
      <c r="AT388" s="28">
        <f t="shared" si="124"/>
        <v>-3112059.4499999993</v>
      </c>
      <c r="AU388" s="28"/>
      <c r="AV388" s="28"/>
      <c r="AW388" s="28"/>
      <c r="AX388" s="28"/>
      <c r="AY388" s="28"/>
    </row>
    <row r="389" spans="1:51" x14ac:dyDescent="0.25">
      <c r="A389" s="137">
        <f t="shared" si="141"/>
        <v>371</v>
      </c>
      <c r="B389" s="138">
        <f t="shared" si="141"/>
        <v>183</v>
      </c>
      <c r="C389" s="120" t="s">
        <v>45</v>
      </c>
      <c r="D389" s="120" t="s">
        <v>604</v>
      </c>
      <c r="E389" s="121">
        <v>2002</v>
      </c>
      <c r="F389" s="121">
        <v>2002</v>
      </c>
      <c r="G389" s="121" t="s">
        <v>43</v>
      </c>
      <c r="H389" s="121">
        <v>9</v>
      </c>
      <c r="I389" s="121">
        <v>2</v>
      </c>
      <c r="J389" s="107">
        <v>5167.8999999999996</v>
      </c>
      <c r="K389" s="107">
        <v>4391.8999999999996</v>
      </c>
      <c r="L389" s="107">
        <v>0</v>
      </c>
      <c r="M389" s="122">
        <v>172</v>
      </c>
      <c r="N389" s="133">
        <f t="shared" si="114"/>
        <v>7182720</v>
      </c>
      <c r="O389" s="107"/>
      <c r="P389" s="108"/>
      <c r="Q389" s="108">
        <v>718272</v>
      </c>
      <c r="R389" s="108">
        <f t="shared" si="144"/>
        <v>3024815.9801999996</v>
      </c>
      <c r="S389" s="108">
        <f>+'Приложение №2'!E389-Q389-'Приложение №1'!R389</f>
        <v>3439632.0198000004</v>
      </c>
      <c r="T389" s="108">
        <v>0</v>
      </c>
      <c r="U389" s="107">
        <f t="shared" si="143"/>
        <v>1635.4470730207884</v>
      </c>
      <c r="V389" s="107">
        <f t="shared" si="143"/>
        <v>1635.4470730207884</v>
      </c>
      <c r="W389" s="135">
        <v>2023</v>
      </c>
      <c r="X389" s="28" t="s">
        <v>145</v>
      </c>
      <c r="Z389" s="30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31"/>
      <c r="AO389" s="32"/>
      <c r="AP389" s="77">
        <f>+N389-'Приложение №2'!E389</f>
        <v>0</v>
      </c>
      <c r="AQ389" s="1">
        <v>2429458.7999999998</v>
      </c>
      <c r="AR389" s="1">
        <f>+(K389*13.29+L389*22.52)*12*0.85</f>
        <v>595357.18019999983</v>
      </c>
      <c r="AS389" s="1">
        <f>+(K389*13.29+L389*22.52)*12*30</f>
        <v>21012606.359999996</v>
      </c>
      <c r="AT389" s="28">
        <f t="shared" si="124"/>
        <v>-17572974.340199996</v>
      </c>
      <c r="AU389" s="28">
        <f>+P389-'[6]Приложение №1'!$P367</f>
        <v>0</v>
      </c>
      <c r="AV389" s="28">
        <f>+Q389-'[6]Приложение №1'!$Q367</f>
        <v>0</v>
      </c>
      <c r="AW389" s="28">
        <f>+R389-'[6]Приложение №1'!$R367</f>
        <v>0</v>
      </c>
      <c r="AX389" s="28">
        <f>+S389-'[6]Приложение №1'!$S367</f>
        <v>0</v>
      </c>
      <c r="AY389" s="28">
        <f>+T389-'[6]Приложение №1'!$T367</f>
        <v>0</v>
      </c>
    </row>
    <row r="390" spans="1:51" x14ac:dyDescent="0.25">
      <c r="A390" s="137">
        <f t="shared" si="141"/>
        <v>372</v>
      </c>
      <c r="B390" s="138">
        <f t="shared" si="141"/>
        <v>184</v>
      </c>
      <c r="C390" s="120" t="s">
        <v>45</v>
      </c>
      <c r="D390" s="120" t="s">
        <v>605</v>
      </c>
      <c r="E390" s="121">
        <v>1967</v>
      </c>
      <c r="F390" s="121">
        <v>1967</v>
      </c>
      <c r="G390" s="121" t="s">
        <v>43</v>
      </c>
      <c r="H390" s="121">
        <v>3</v>
      </c>
      <c r="I390" s="121">
        <v>2</v>
      </c>
      <c r="J390" s="107">
        <v>994.3</v>
      </c>
      <c r="K390" s="107">
        <v>775.2</v>
      </c>
      <c r="L390" s="107">
        <v>168.7</v>
      </c>
      <c r="M390" s="122">
        <v>26</v>
      </c>
      <c r="N390" s="133">
        <f t="shared" si="114"/>
        <v>1356273.2386333202</v>
      </c>
      <c r="O390" s="107"/>
      <c r="P390" s="108"/>
      <c r="Q390" s="108"/>
      <c r="R390" s="108">
        <f t="shared" si="144"/>
        <v>486776.28</v>
      </c>
      <c r="S390" s="108">
        <f>+'Приложение №2'!E390-'Приложение №1'!P390-'Приложение №1'!Q390-'Приложение №1'!R390</f>
        <v>869496.95863332017</v>
      </c>
      <c r="T390" s="108">
        <f>+'Приложение №2'!E390-'Приложение №1'!P390-'Приложение №1'!Q390-'Приложение №1'!R390-'Приложение №1'!S390</f>
        <v>0</v>
      </c>
      <c r="U390" s="107">
        <f t="shared" si="143"/>
        <v>1436.8823377829433</v>
      </c>
      <c r="V390" s="107">
        <f t="shared" si="143"/>
        <v>1436.8823377829433</v>
      </c>
      <c r="W390" s="135">
        <v>2023</v>
      </c>
      <c r="X390" s="28" t="e">
        <f>+#REF!-'[1]Приложение №1'!$P1393</f>
        <v>#REF!</v>
      </c>
      <c r="Z390" s="30">
        <f t="shared" ref="Z390:Z417" si="145">SUM(AA390:AO390)</f>
        <v>34167233.340000004</v>
      </c>
      <c r="AA390" s="26">
        <v>3079218.0664572599</v>
      </c>
      <c r="AB390" s="26">
        <v>1873658.3176915799</v>
      </c>
      <c r="AC390" s="26">
        <v>882894.70095414005</v>
      </c>
      <c r="AD390" s="26">
        <v>752401.6108417199</v>
      </c>
      <c r="AE390" s="26">
        <v>0</v>
      </c>
      <c r="AF390" s="26"/>
      <c r="AG390" s="26">
        <v>291874.83960432006</v>
      </c>
      <c r="AH390" s="26">
        <v>0</v>
      </c>
      <c r="AI390" s="26">
        <v>8907648.2312202007</v>
      </c>
      <c r="AJ390" s="26">
        <v>0</v>
      </c>
      <c r="AK390" s="26">
        <v>7283473.6350293402</v>
      </c>
      <c r="AL390" s="26">
        <v>6854126.4005717998</v>
      </c>
      <c r="AM390" s="26">
        <v>3245859.5940000005</v>
      </c>
      <c r="AN390" s="31">
        <v>341672.33340000006</v>
      </c>
      <c r="AO390" s="32">
        <v>654405.61022964003</v>
      </c>
      <c r="AP390" s="77">
        <f>+N390-'Приложение №2'!E390</f>
        <v>0</v>
      </c>
      <c r="AQ390" s="1">
        <v>373291.08</v>
      </c>
      <c r="AR390" s="1">
        <f>+(K390*10+L390*20)*12*0.85</f>
        <v>113485.2</v>
      </c>
      <c r="AS390" s="1">
        <f>+(K390*10+L390*20)*12*30</f>
        <v>4005360</v>
      </c>
      <c r="AT390" s="28">
        <f t="shared" si="124"/>
        <v>-3135863.0413666796</v>
      </c>
      <c r="AU390" s="28">
        <f>+P390-'[6]Приложение №1'!$P369</f>
        <v>0</v>
      </c>
      <c r="AV390" s="28">
        <f>+Q390-'[6]Приложение №1'!$Q369</f>
        <v>0</v>
      </c>
      <c r="AW390" s="28">
        <f>+R390-'[6]Приложение №1'!$R369</f>
        <v>0</v>
      </c>
      <c r="AX390" s="28">
        <f>+S390-'[6]Приложение №1'!$S369</f>
        <v>-379559.85999999987</v>
      </c>
      <c r="AY390" s="28">
        <f>+T390-'[6]Приложение №1'!$T369</f>
        <v>0</v>
      </c>
    </row>
    <row r="391" spans="1:51" x14ac:dyDescent="0.25">
      <c r="A391" s="137">
        <f t="shared" si="141"/>
        <v>373</v>
      </c>
      <c r="B391" s="138">
        <f t="shared" si="141"/>
        <v>185</v>
      </c>
      <c r="C391" s="120" t="s">
        <v>45</v>
      </c>
      <c r="D391" s="120" t="s">
        <v>606</v>
      </c>
      <c r="E391" s="121">
        <v>1974</v>
      </c>
      <c r="F391" s="121">
        <v>1974</v>
      </c>
      <c r="G391" s="121" t="s">
        <v>43</v>
      </c>
      <c r="H391" s="121">
        <v>4</v>
      </c>
      <c r="I391" s="121">
        <v>3</v>
      </c>
      <c r="J391" s="107">
        <v>1380.9</v>
      </c>
      <c r="K391" s="107">
        <v>1261.0999999999999</v>
      </c>
      <c r="L391" s="107">
        <v>0</v>
      </c>
      <c r="M391" s="122">
        <v>43</v>
      </c>
      <c r="N391" s="133">
        <f t="shared" si="114"/>
        <v>1066397.1808183601</v>
      </c>
      <c r="O391" s="107"/>
      <c r="P391" s="108"/>
      <c r="Q391" s="108"/>
      <c r="R391" s="108">
        <f t="shared" si="144"/>
        <v>0</v>
      </c>
      <c r="S391" s="108">
        <f>+'Приложение №2'!E391-'Приложение №1'!P391-'Приложение №1'!Q391-'Приложение №1'!R391</f>
        <v>1066397.1808183601</v>
      </c>
      <c r="T391" s="108">
        <f>+'Приложение №2'!E391-'Приложение №1'!P391-'Приложение №1'!Q391-'Приложение №1'!R391-'Приложение №1'!S391</f>
        <v>0</v>
      </c>
      <c r="U391" s="107">
        <f t="shared" si="143"/>
        <v>845.60873905190715</v>
      </c>
      <c r="V391" s="107">
        <f t="shared" si="143"/>
        <v>845.60873905190715</v>
      </c>
      <c r="W391" s="135">
        <v>2023</v>
      </c>
      <c r="X391" s="28" t="e">
        <f>+#REF!-'[1]Приложение №1'!$P1395</f>
        <v>#REF!</v>
      </c>
      <c r="Z391" s="30">
        <f t="shared" si="145"/>
        <v>24082184.68</v>
      </c>
      <c r="AA391" s="26">
        <v>3459603.0948952204</v>
      </c>
      <c r="AB391" s="26">
        <v>1248096.36492156</v>
      </c>
      <c r="AC391" s="26">
        <v>1303954.6600395001</v>
      </c>
      <c r="AD391" s="26">
        <v>816386.97648732003</v>
      </c>
      <c r="AE391" s="26">
        <v>0</v>
      </c>
      <c r="AF391" s="26"/>
      <c r="AG391" s="26">
        <v>124822.049583</v>
      </c>
      <c r="AH391" s="26">
        <v>0</v>
      </c>
      <c r="AI391" s="26">
        <v>6403192.8421985991</v>
      </c>
      <c r="AJ391" s="26">
        <v>838109.10532439989</v>
      </c>
      <c r="AK391" s="26">
        <v>3324589.38292698</v>
      </c>
      <c r="AL391" s="26">
        <v>3585887.05339116</v>
      </c>
      <c r="AM391" s="26">
        <v>2275205.5373000004</v>
      </c>
      <c r="AN391" s="31">
        <v>240821.8468</v>
      </c>
      <c r="AO391" s="32">
        <v>461515.76613225997</v>
      </c>
      <c r="AP391" s="77">
        <f>+N391-'Приложение №2'!E391</f>
        <v>0</v>
      </c>
      <c r="AQ391" s="28">
        <f>513292.56-R151</f>
        <v>-128632.20000000001</v>
      </c>
      <c r="AR391" s="1">
        <f>+(K391*10+L391*20)*12*0.85</f>
        <v>128632.2</v>
      </c>
      <c r="AS391" s="1">
        <f>+(K391*10+L391*20)*12*30-S151</f>
        <v>3849750.0691816397</v>
      </c>
      <c r="AT391" s="28">
        <f t="shared" si="124"/>
        <v>-2783352.8883632794</v>
      </c>
      <c r="AU391" s="28">
        <f>+P391-'[6]Приложение №1'!$P370</f>
        <v>0</v>
      </c>
      <c r="AV391" s="28">
        <f>+Q391-'[6]Приложение №1'!$Q370</f>
        <v>0</v>
      </c>
      <c r="AW391" s="28">
        <f>+R391-'[6]Приложение №1'!$R370</f>
        <v>-641924.76</v>
      </c>
      <c r="AX391" s="28">
        <f>+S391-'[6]Приложение №1'!$S370</f>
        <v>1048684.75</v>
      </c>
      <c r="AY391" s="28">
        <f>+T391-'[6]Приложение №1'!$T370</f>
        <v>0</v>
      </c>
    </row>
    <row r="392" spans="1:51" x14ac:dyDescent="0.25">
      <c r="A392" s="137">
        <f t="shared" si="141"/>
        <v>374</v>
      </c>
      <c r="B392" s="138">
        <f t="shared" si="141"/>
        <v>186</v>
      </c>
      <c r="C392" s="120" t="s">
        <v>45</v>
      </c>
      <c r="D392" s="120" t="s">
        <v>607</v>
      </c>
      <c r="E392" s="121">
        <v>1962</v>
      </c>
      <c r="F392" s="121">
        <v>1962</v>
      </c>
      <c r="G392" s="121" t="s">
        <v>43</v>
      </c>
      <c r="H392" s="121">
        <v>3</v>
      </c>
      <c r="I392" s="121">
        <v>2</v>
      </c>
      <c r="J392" s="107">
        <v>937.1</v>
      </c>
      <c r="K392" s="107">
        <v>723.7</v>
      </c>
      <c r="L392" s="107">
        <v>213.4</v>
      </c>
      <c r="M392" s="122">
        <v>26</v>
      </c>
      <c r="N392" s="133">
        <f t="shared" si="114"/>
        <v>1974866.4282480003</v>
      </c>
      <c r="O392" s="107"/>
      <c r="P392" s="108"/>
      <c r="Q392" s="108"/>
      <c r="R392" s="108">
        <f t="shared" si="144"/>
        <v>218510.12</v>
      </c>
      <c r="S392" s="108">
        <f>+'Приложение №2'!E392-'Приложение №1'!P392-'Приложение №1'!Q392-'Приложение №1'!R392</f>
        <v>1756356.3082480002</v>
      </c>
      <c r="T392" s="108">
        <f>+'Приложение №2'!E392-'Приложение №1'!P392-'Приложение №1'!Q392-'Приложение №1'!R392-'Приложение №1'!S392</f>
        <v>0</v>
      </c>
      <c r="U392" s="107">
        <f t="shared" si="143"/>
        <v>2107.4233574303707</v>
      </c>
      <c r="V392" s="107">
        <f t="shared" si="143"/>
        <v>2107.4233574303707</v>
      </c>
      <c r="W392" s="135">
        <v>2023</v>
      </c>
      <c r="X392" s="28" t="e">
        <f>+#REF!-'[1]Приложение №1'!$P1396</f>
        <v>#REF!</v>
      </c>
      <c r="Z392" s="30">
        <f t="shared" si="145"/>
        <v>26675784</v>
      </c>
      <c r="AA392" s="26">
        <v>2404073.9634912</v>
      </c>
      <c r="AB392" s="26">
        <v>1462843.1901888</v>
      </c>
      <c r="AC392" s="26">
        <v>689312.71110239998</v>
      </c>
      <c r="AD392" s="26">
        <v>587431.31489280006</v>
      </c>
      <c r="AE392" s="26">
        <v>0</v>
      </c>
      <c r="AF392" s="26"/>
      <c r="AG392" s="26">
        <v>227878.8628032</v>
      </c>
      <c r="AH392" s="26">
        <v>0</v>
      </c>
      <c r="AI392" s="26">
        <v>6954572.4655679995</v>
      </c>
      <c r="AJ392" s="26">
        <v>0</v>
      </c>
      <c r="AK392" s="26">
        <v>5686511.6200032001</v>
      </c>
      <c r="AL392" s="26">
        <v>5351302.3282992002</v>
      </c>
      <c r="AM392" s="26">
        <v>2534177.952</v>
      </c>
      <c r="AN392" s="31">
        <v>266757.84000000003</v>
      </c>
      <c r="AO392" s="32">
        <v>510921.75165120006</v>
      </c>
      <c r="AP392" s="77">
        <f>+N392-'Приложение №2'!E392</f>
        <v>0</v>
      </c>
      <c r="AQ392" s="28">
        <f>294416.56-R152</f>
        <v>101159.12</v>
      </c>
      <c r="AR392" s="1">
        <f>+(K392*10+L392*20)*12*0.85</f>
        <v>117351</v>
      </c>
      <c r="AS392" s="1">
        <f>+(K392*10+L392*20)*12*30-S152</f>
        <v>3249806.9578032</v>
      </c>
      <c r="AT392" s="28">
        <f t="shared" si="124"/>
        <v>-1493450.6495551998</v>
      </c>
      <c r="AU392" s="28">
        <f>+P392-'[6]Приложение №1'!$P371</f>
        <v>0</v>
      </c>
      <c r="AV392" s="28">
        <f>+Q392-'[6]Приложение №1'!$Q371</f>
        <v>0</v>
      </c>
      <c r="AW392" s="28">
        <f>+R392-'[6]Приложение №1'!$R371</f>
        <v>-193257.44</v>
      </c>
      <c r="AX392" s="28">
        <f>+S392-'[6]Приложение №1'!$S371</f>
        <v>1622170.7800000003</v>
      </c>
      <c r="AY392" s="28">
        <f>+T392-'[6]Приложение №1'!$T371</f>
        <v>0</v>
      </c>
    </row>
    <row r="393" spans="1:51" x14ac:dyDescent="0.25">
      <c r="A393" s="137">
        <f t="shared" si="141"/>
        <v>375</v>
      </c>
      <c r="B393" s="138">
        <f t="shared" si="141"/>
        <v>187</v>
      </c>
      <c r="C393" s="120" t="s">
        <v>46</v>
      </c>
      <c r="D393" s="120" t="s">
        <v>639</v>
      </c>
      <c r="E393" s="121">
        <v>1986</v>
      </c>
      <c r="F393" s="121">
        <v>2013</v>
      </c>
      <c r="G393" s="121" t="s">
        <v>43</v>
      </c>
      <c r="H393" s="121">
        <v>9</v>
      </c>
      <c r="I393" s="121">
        <v>1</v>
      </c>
      <c r="J393" s="107">
        <v>2272.3000000000002</v>
      </c>
      <c r="K393" s="107">
        <v>2002.9</v>
      </c>
      <c r="L393" s="107">
        <v>0</v>
      </c>
      <c r="M393" s="122">
        <v>70</v>
      </c>
      <c r="N393" s="133">
        <f t="shared" si="114"/>
        <v>1324762.0579570399</v>
      </c>
      <c r="O393" s="107"/>
      <c r="P393" s="108"/>
      <c r="Q393" s="108"/>
      <c r="R393" s="108">
        <f>+AQ393+AR393-289630.07</f>
        <v>1151990.4382</v>
      </c>
      <c r="S393" s="108">
        <f>+'Приложение №2'!E393-'Приложение №1'!R393</f>
        <v>172771.61975703994</v>
      </c>
      <c r="T393" s="108">
        <f>+'Приложение №2'!E393-'Приложение №1'!P393-'Приложение №1'!Q393-'Приложение №1'!R393-'Приложение №1'!S393</f>
        <v>0</v>
      </c>
      <c r="U393" s="107">
        <f t="shared" si="143"/>
        <v>661.42196712618693</v>
      </c>
      <c r="V393" s="107">
        <f t="shared" si="143"/>
        <v>661.42196712618693</v>
      </c>
      <c r="W393" s="135">
        <v>2023</v>
      </c>
      <c r="X393" s="28" t="e">
        <f>+#REF!-'[1]Приложение №1'!$P1399</f>
        <v>#REF!</v>
      </c>
      <c r="Z393" s="30">
        <f t="shared" si="145"/>
        <v>21594584.64801088</v>
      </c>
      <c r="AA393" s="26">
        <v>4631599.4465777399</v>
      </c>
      <c r="AB393" s="26"/>
      <c r="AC393" s="26">
        <v>1934925.9339127201</v>
      </c>
      <c r="AD393" s="26">
        <v>1745759.1417302401</v>
      </c>
      <c r="AE393" s="26">
        <v>0</v>
      </c>
      <c r="AF393" s="26"/>
      <c r="AG393" s="26">
        <v>222817.11301919998</v>
      </c>
      <c r="AH393" s="26">
        <v>0</v>
      </c>
      <c r="AI393" s="26">
        <v>2259410.2166411998</v>
      </c>
      <c r="AJ393" s="26">
        <v>0</v>
      </c>
      <c r="AK393" s="26"/>
      <c r="AL393" s="26">
        <v>5158377.8738793004</v>
      </c>
      <c r="AM393" s="26">
        <v>4350496.0856000008</v>
      </c>
      <c r="AN393" s="31">
        <v>443884.90120000008</v>
      </c>
      <c r="AO393" s="32">
        <v>847313.93545048009</v>
      </c>
      <c r="AP393" s="77">
        <f>+N393-'Приложение №2'!E393</f>
        <v>0</v>
      </c>
      <c r="AQ393" s="1">
        <v>1170111.3899999999</v>
      </c>
      <c r="AR393" s="1">
        <f>+(K393*13.29+L393*22.52)*12*0.85</f>
        <v>271509.11820000003</v>
      </c>
      <c r="AS393" s="1">
        <f>+(K393*13.29+L393*22.52)*12*30-6343334.16</f>
        <v>3239340.6000000015</v>
      </c>
      <c r="AT393" s="28">
        <f t="shared" si="124"/>
        <v>-3066568.9802429616</v>
      </c>
      <c r="AU393" s="28">
        <f>+P393-'[6]Приложение №1'!$P372</f>
        <v>-3326870.9585851147</v>
      </c>
      <c r="AV393" s="28">
        <f>+Q393-'[6]Приложение №1'!$Q372</f>
        <v>0</v>
      </c>
      <c r="AW393" s="28">
        <f>+R393-'[6]Приложение №1'!$R372</f>
        <v>0</v>
      </c>
      <c r="AX393" s="28">
        <f>+S393-'[6]Приложение №1'!$S372</f>
        <v>0</v>
      </c>
      <c r="AY393" s="28">
        <f>+T393-'[6]Приложение №1'!$T372</f>
        <v>0</v>
      </c>
    </row>
    <row r="394" spans="1:51" x14ac:dyDescent="0.25">
      <c r="A394" s="137">
        <f t="shared" ref="A394:B409" si="146">+A393+1</f>
        <v>376</v>
      </c>
      <c r="B394" s="138">
        <f t="shared" si="146"/>
        <v>188</v>
      </c>
      <c r="C394" s="120" t="s">
        <v>46</v>
      </c>
      <c r="D394" s="120" t="s">
        <v>640</v>
      </c>
      <c r="E394" s="121">
        <v>1994</v>
      </c>
      <c r="F394" s="121">
        <v>2015</v>
      </c>
      <c r="G394" s="121" t="s">
        <v>83</v>
      </c>
      <c r="H394" s="121">
        <v>9</v>
      </c>
      <c r="I394" s="121">
        <v>2</v>
      </c>
      <c r="J394" s="107">
        <v>4698.7</v>
      </c>
      <c r="K394" s="107">
        <v>4088</v>
      </c>
      <c r="L394" s="107">
        <v>0</v>
      </c>
      <c r="M394" s="122">
        <v>152</v>
      </c>
      <c r="N394" s="133">
        <f t="shared" si="114"/>
        <v>5574824.3399999999</v>
      </c>
      <c r="O394" s="107"/>
      <c r="P394" s="108"/>
      <c r="Q394" s="108"/>
      <c r="R394" s="108">
        <f t="shared" ref="R394:R417" si="147">+AQ394+AR394</f>
        <v>2726855.4739999999</v>
      </c>
      <c r="S394" s="108">
        <f>+'Приложение №2'!E394-'Приложение №1'!R394</f>
        <v>2847968.8659999999</v>
      </c>
      <c r="T394" s="108">
        <v>0</v>
      </c>
      <c r="U394" s="107">
        <f t="shared" si="143"/>
        <v>1363.7045841487279</v>
      </c>
      <c r="V394" s="107">
        <f t="shared" si="143"/>
        <v>1363.7045841487279</v>
      </c>
      <c r="W394" s="135">
        <v>2023</v>
      </c>
      <c r="X394" s="28" t="e">
        <f>+#REF!-'[1]Приложение №1'!$P1578</f>
        <v>#REF!</v>
      </c>
      <c r="Z394" s="30">
        <f t="shared" si="145"/>
        <v>10862057.870000001</v>
      </c>
      <c r="AA394" s="26">
        <v>0</v>
      </c>
      <c r="AB394" s="26">
        <v>4131978.851978879</v>
      </c>
      <c r="AC394" s="26">
        <v>4914820.1777068805</v>
      </c>
      <c r="AD394" s="26">
        <v>0</v>
      </c>
      <c r="AE394" s="26">
        <v>0</v>
      </c>
      <c r="AF394" s="26"/>
      <c r="AG394" s="26">
        <v>455373.75956604001</v>
      </c>
      <c r="AH394" s="26">
        <v>0</v>
      </c>
      <c r="AI394" s="26">
        <v>0</v>
      </c>
      <c r="AJ394" s="26">
        <v>0</v>
      </c>
      <c r="AK394" s="26">
        <v>0</v>
      </c>
      <c r="AL394" s="26">
        <v>0</v>
      </c>
      <c r="AM394" s="26">
        <v>1043471.2283000001</v>
      </c>
      <c r="AN394" s="31">
        <v>108620.5787</v>
      </c>
      <c r="AO394" s="32">
        <v>207793.27374819998</v>
      </c>
      <c r="AP394" s="77">
        <f>+N394-'Приложение №2'!E394</f>
        <v>0</v>
      </c>
      <c r="AQ394" s="1">
        <v>2172694.37</v>
      </c>
      <c r="AR394" s="1">
        <f>+(K394*13.29+L394*22.52)*12*0.85</f>
        <v>554161.10399999993</v>
      </c>
      <c r="AS394" s="1">
        <f>+(K394*13.29+L394*22.52)*12*30</f>
        <v>19558627.199999999</v>
      </c>
      <c r="AT394" s="28">
        <f t="shared" si="124"/>
        <v>-16710658.333999999</v>
      </c>
      <c r="AU394" s="28">
        <f>+P394-'[6]Приложение №1'!$P373</f>
        <v>0</v>
      </c>
      <c r="AV394" s="28">
        <f>+Q394-'[6]Приложение №1'!$Q373</f>
        <v>0</v>
      </c>
      <c r="AW394" s="28">
        <f>+R394-'[6]Приложение №1'!$R373</f>
        <v>0</v>
      </c>
      <c r="AX394" s="28">
        <f>+S394-'[6]Приложение №1'!$S373</f>
        <v>0</v>
      </c>
      <c r="AY394" s="28">
        <f>+T394-'[6]Приложение №1'!$T373</f>
        <v>0</v>
      </c>
    </row>
    <row r="395" spans="1:51" x14ac:dyDescent="0.25">
      <c r="A395" s="137">
        <f t="shared" si="146"/>
        <v>377</v>
      </c>
      <c r="B395" s="138">
        <f t="shared" si="146"/>
        <v>189</v>
      </c>
      <c r="C395" s="120" t="s">
        <v>46</v>
      </c>
      <c r="D395" s="120" t="s">
        <v>174</v>
      </c>
      <c r="E395" s="121">
        <v>1974</v>
      </c>
      <c r="F395" s="121">
        <v>2004</v>
      </c>
      <c r="G395" s="121" t="s">
        <v>43</v>
      </c>
      <c r="H395" s="121">
        <v>9</v>
      </c>
      <c r="I395" s="121">
        <v>1</v>
      </c>
      <c r="J395" s="107">
        <v>2145.6</v>
      </c>
      <c r="K395" s="107">
        <v>1882.91</v>
      </c>
      <c r="L395" s="107">
        <v>0</v>
      </c>
      <c r="M395" s="122">
        <v>77</v>
      </c>
      <c r="N395" s="133">
        <f t="shared" si="114"/>
        <v>14592894.304800002</v>
      </c>
      <c r="O395" s="107"/>
      <c r="P395" s="108">
        <v>1633456.4588733336</v>
      </c>
      <c r="Q395" s="108"/>
      <c r="R395" s="108">
        <f t="shared" si="147"/>
        <v>1074656.2037799999</v>
      </c>
      <c r="S395" s="108">
        <f>+AS395</f>
        <v>9008594.6039999984</v>
      </c>
      <c r="T395" s="108">
        <f>+'Приложение №2'!E395-'Приложение №1'!P395-'Приложение №1'!Q395-'Приложение №1'!R395-'Приложение №1'!S395</f>
        <v>2876187.038146669</v>
      </c>
      <c r="U395" s="107">
        <f t="shared" si="143"/>
        <v>7750.1815300784428</v>
      </c>
      <c r="V395" s="107">
        <f t="shared" si="143"/>
        <v>7750.1815300784428</v>
      </c>
      <c r="W395" s="135">
        <v>2023</v>
      </c>
      <c r="X395" s="28" t="e">
        <f>+#REF!-'[1]Приложение №1'!$P1581</f>
        <v>#REF!</v>
      </c>
      <c r="Z395" s="30">
        <f t="shared" si="145"/>
        <v>14974764.26</v>
      </c>
      <c r="AA395" s="26">
        <v>4349966.5649949601</v>
      </c>
      <c r="AB395" s="26">
        <v>2985403.71589782</v>
      </c>
      <c r="AC395" s="26">
        <v>1817269.2196583401</v>
      </c>
      <c r="AD395" s="26">
        <v>1639605.0614672401</v>
      </c>
      <c r="AE395" s="26">
        <v>0</v>
      </c>
      <c r="AF395" s="26"/>
      <c r="AG395" s="26">
        <v>209268.31068528001</v>
      </c>
      <c r="AH395" s="26">
        <v>0</v>
      </c>
      <c r="AI395" s="26">
        <v>2122022.6416493999</v>
      </c>
      <c r="AJ395" s="26">
        <v>0</v>
      </c>
      <c r="AK395" s="26">
        <v>0</v>
      </c>
      <c r="AL395" s="26">
        <v>0</v>
      </c>
      <c r="AM395" s="26">
        <v>1414495.9609999999</v>
      </c>
      <c r="AN395" s="31">
        <v>149747.64259999999</v>
      </c>
      <c r="AO395" s="32">
        <v>286985.14204696001</v>
      </c>
      <c r="AP395" s="77">
        <f>+N395-'Приложение №2'!E395</f>
        <v>0</v>
      </c>
      <c r="AQ395" s="1">
        <v>819412.69</v>
      </c>
      <c r="AR395" s="1">
        <f>+(K395*13.29+L395*22.52)*12*0.85</f>
        <v>255243.51377999995</v>
      </c>
      <c r="AS395" s="1">
        <f>+(K395*13.29+L395*22.52)*12*30</f>
        <v>9008594.6039999984</v>
      </c>
      <c r="AT395" s="28">
        <f t="shared" si="124"/>
        <v>0</v>
      </c>
      <c r="AU395" s="28">
        <f>+P395-'[6]Приложение №1'!$P374</f>
        <v>0</v>
      </c>
      <c r="AV395" s="28">
        <f>+Q395-'[6]Приложение №1'!$Q374</f>
        <v>0</v>
      </c>
      <c r="AW395" s="28">
        <f>+R395-'[6]Приложение №1'!$R374</f>
        <v>0</v>
      </c>
      <c r="AX395" s="28">
        <f>+S395-'[6]Приложение №1'!$S374</f>
        <v>0</v>
      </c>
      <c r="AY395" s="28">
        <f>+T395-'[6]Приложение №1'!$T374</f>
        <v>0</v>
      </c>
    </row>
    <row r="396" spans="1:51" x14ac:dyDescent="0.25">
      <c r="A396" s="137">
        <f t="shared" si="146"/>
        <v>378</v>
      </c>
      <c r="B396" s="138">
        <f t="shared" si="146"/>
        <v>190</v>
      </c>
      <c r="C396" s="120" t="s">
        <v>46</v>
      </c>
      <c r="D396" s="120" t="s">
        <v>175</v>
      </c>
      <c r="E396" s="121">
        <v>1973</v>
      </c>
      <c r="F396" s="121">
        <v>2004</v>
      </c>
      <c r="G396" s="121" t="s">
        <v>43</v>
      </c>
      <c r="H396" s="121">
        <v>9</v>
      </c>
      <c r="I396" s="121">
        <v>1</v>
      </c>
      <c r="J396" s="107">
        <v>2255.5</v>
      </c>
      <c r="K396" s="107">
        <v>1988.05</v>
      </c>
      <c r="L396" s="107">
        <v>0</v>
      </c>
      <c r="M396" s="122">
        <v>92</v>
      </c>
      <c r="N396" s="133">
        <f t="shared" si="114"/>
        <v>2471396.1</v>
      </c>
      <c r="O396" s="107"/>
      <c r="P396" s="108"/>
      <c r="Q396" s="108"/>
      <c r="R396" s="108">
        <f t="shared" si="147"/>
        <v>1371899.6118999999</v>
      </c>
      <c r="S396" s="108">
        <f>+'Приложение №2'!E396-'Приложение №1'!R396</f>
        <v>1099496.4881000002</v>
      </c>
      <c r="T396" s="108">
        <v>0</v>
      </c>
      <c r="U396" s="107">
        <f t="shared" si="143"/>
        <v>1243.1257262141296</v>
      </c>
      <c r="V396" s="107">
        <f t="shared" si="143"/>
        <v>1243.1257262141296</v>
      </c>
      <c r="W396" s="135">
        <v>2023</v>
      </c>
      <c r="X396" s="28" t="e">
        <f>+#REF!-'[1]Приложение №1'!$P1583</f>
        <v>#REF!</v>
      </c>
      <c r="Z396" s="30">
        <f t="shared" si="145"/>
        <v>2546718.4499999997</v>
      </c>
      <c r="AA396" s="26">
        <v>0</v>
      </c>
      <c r="AB396" s="26">
        <v>0</v>
      </c>
      <c r="AC396" s="26">
        <v>0</v>
      </c>
      <c r="AD396" s="26">
        <v>0</v>
      </c>
      <c r="AE396" s="26">
        <v>0</v>
      </c>
      <c r="AF396" s="26"/>
      <c r="AG396" s="26">
        <v>0</v>
      </c>
      <c r="AH396" s="26">
        <v>0</v>
      </c>
      <c r="AI396" s="26">
        <v>2242996.8076530001</v>
      </c>
      <c r="AJ396" s="26">
        <v>0</v>
      </c>
      <c r="AK396" s="26">
        <v>0</v>
      </c>
      <c r="AL396" s="26">
        <v>0</v>
      </c>
      <c r="AM396" s="26">
        <v>229204.6605</v>
      </c>
      <c r="AN396" s="31">
        <v>25467.184500000003</v>
      </c>
      <c r="AO396" s="32">
        <v>49049.797347</v>
      </c>
      <c r="AP396" s="77">
        <f>+N396-'Приложение №2'!E396</f>
        <v>0</v>
      </c>
      <c r="AQ396" s="1">
        <v>1102403.53</v>
      </c>
      <c r="AR396" s="1">
        <f>+(K396*13.29+L396*22.52)*12*0.85</f>
        <v>269496.08189999999</v>
      </c>
      <c r="AS396" s="1">
        <f>+(K396*13.29+L396*22.52)*12*30</f>
        <v>9511626.4199999999</v>
      </c>
      <c r="AT396" s="28">
        <f t="shared" si="124"/>
        <v>-8412129.9319000002</v>
      </c>
      <c r="AU396" s="28">
        <f>+P396-'[6]Приложение №1'!$P375</f>
        <v>-2175839.7215601779</v>
      </c>
      <c r="AV396" s="28">
        <f>+Q396-'[6]Приложение №1'!$Q375</f>
        <v>0</v>
      </c>
      <c r="AW396" s="28">
        <f>+R396-'[6]Приложение №1'!$R375</f>
        <v>0</v>
      </c>
      <c r="AX396" s="28">
        <f>+S396-'[6]Приложение №1'!$S375</f>
        <v>0</v>
      </c>
      <c r="AY396" s="28">
        <f>+T396-'[6]Приложение №1'!$T375</f>
        <v>0</v>
      </c>
    </row>
    <row r="397" spans="1:51" x14ac:dyDescent="0.25">
      <c r="A397" s="137">
        <f t="shared" si="146"/>
        <v>379</v>
      </c>
      <c r="B397" s="138">
        <f t="shared" si="146"/>
        <v>191</v>
      </c>
      <c r="C397" s="120" t="s">
        <v>46</v>
      </c>
      <c r="D397" s="120" t="s">
        <v>625</v>
      </c>
      <c r="E397" s="121">
        <v>1989</v>
      </c>
      <c r="F397" s="121">
        <v>2014</v>
      </c>
      <c r="G397" s="121" t="s">
        <v>43</v>
      </c>
      <c r="H397" s="121">
        <v>9</v>
      </c>
      <c r="I397" s="121">
        <v>3</v>
      </c>
      <c r="J397" s="107">
        <v>6626.1</v>
      </c>
      <c r="K397" s="107">
        <v>6102.5</v>
      </c>
      <c r="L397" s="107">
        <v>67.8</v>
      </c>
      <c r="M397" s="122">
        <v>265</v>
      </c>
      <c r="N397" s="133">
        <f t="shared" si="114"/>
        <v>23521550.178977139</v>
      </c>
      <c r="O397" s="107"/>
      <c r="P397" s="108">
        <v>9534672.4600000009</v>
      </c>
      <c r="Q397" s="108"/>
      <c r="R397" s="108">
        <f t="shared" si="147"/>
        <v>3009205.0962</v>
      </c>
      <c r="S397" s="108">
        <f>+AS397</f>
        <v>0</v>
      </c>
      <c r="T397" s="108">
        <f>+'Приложение №2'!E397-'Приложение №1'!P397-'Приложение №1'!Q397-'Приложение №1'!R397-'Приложение №1'!S397</f>
        <v>10977672.622777138</v>
      </c>
      <c r="U397" s="107">
        <f t="shared" si="143"/>
        <v>3812.0594102356672</v>
      </c>
      <c r="V397" s="107">
        <f t="shared" si="143"/>
        <v>3812.0594102356672</v>
      </c>
      <c r="W397" s="135">
        <v>2023</v>
      </c>
      <c r="X397" s="28" t="e">
        <f>+#REF!-'[1]Приложение №1'!$P1188</f>
        <v>#REF!</v>
      </c>
      <c r="Z397" s="30">
        <f t="shared" si="145"/>
        <v>133828117.44000001</v>
      </c>
      <c r="AA397" s="26">
        <v>13963940.488183141</v>
      </c>
      <c r="AB397" s="26">
        <v>9583521.8977096211</v>
      </c>
      <c r="AC397" s="26">
        <v>5833663.0608244799</v>
      </c>
      <c r="AD397" s="26">
        <v>5263338.7413885603</v>
      </c>
      <c r="AE397" s="26">
        <v>0</v>
      </c>
      <c r="AF397" s="26"/>
      <c r="AG397" s="26">
        <v>671777.63177280012</v>
      </c>
      <c r="AH397" s="26">
        <v>0</v>
      </c>
      <c r="AI397" s="26">
        <v>6811959.9181410009</v>
      </c>
      <c r="AJ397" s="26">
        <v>0</v>
      </c>
      <c r="AK397" s="26">
        <v>59138470.018736638</v>
      </c>
      <c r="AL397" s="26">
        <v>15552139.69889202</v>
      </c>
      <c r="AM397" s="26">
        <v>13116434.001499999</v>
      </c>
      <c r="AN397" s="31">
        <v>1338281.1743999999</v>
      </c>
      <c r="AO397" s="32">
        <v>2554590.8084517401</v>
      </c>
      <c r="AP397" s="77">
        <f>+N397-'Приложение №2'!E397</f>
        <v>0</v>
      </c>
      <c r="AQ397" s="33">
        <f>3444334.74-R154</f>
        <v>2166388.4700000002</v>
      </c>
      <c r="AR397" s="1">
        <f>+(K397*13.29+L397*22.52)*12*0.85</f>
        <v>842816.62619999982</v>
      </c>
      <c r="AS397" s="1">
        <f>+(K397*13.29+L397*22.52)*12*30-S154</f>
        <v>0</v>
      </c>
      <c r="AT397" s="28">
        <f t="shared" si="124"/>
        <v>0</v>
      </c>
      <c r="AU397" s="28">
        <f>+P397-'[6]Приложение №1'!$P376</f>
        <v>-10988104.770000003</v>
      </c>
      <c r="AV397" s="28">
        <f>+Q397-'[6]Приложение №1'!$Q376</f>
        <v>0</v>
      </c>
      <c r="AW397" s="28">
        <f>+R397-'[6]Приложение №1'!$R376</f>
        <v>-536807.23999999976</v>
      </c>
      <c r="AX397" s="28">
        <f>+S397-'[6]Приложение №1'!$S376</f>
        <v>-10611481.079072803</v>
      </c>
      <c r="AY397" s="28">
        <f>+T397-'[6]Приложение №1'!$T376</f>
        <v>-2402546.8834811933</v>
      </c>
    </row>
    <row r="398" spans="1:51" x14ac:dyDescent="0.25">
      <c r="A398" s="137">
        <f t="shared" si="146"/>
        <v>380</v>
      </c>
      <c r="B398" s="138">
        <f t="shared" si="146"/>
        <v>192</v>
      </c>
      <c r="C398" s="120" t="s">
        <v>46</v>
      </c>
      <c r="D398" s="120" t="s">
        <v>176</v>
      </c>
      <c r="E398" s="121">
        <v>1968</v>
      </c>
      <c r="F398" s="121">
        <v>2015</v>
      </c>
      <c r="G398" s="121" t="s">
        <v>43</v>
      </c>
      <c r="H398" s="121">
        <v>4</v>
      </c>
      <c r="I398" s="121">
        <v>4</v>
      </c>
      <c r="J398" s="107">
        <v>2529.1</v>
      </c>
      <c r="K398" s="107">
        <v>2238.1</v>
      </c>
      <c r="L398" s="107">
        <v>227.2</v>
      </c>
      <c r="M398" s="122">
        <v>104</v>
      </c>
      <c r="N398" s="133">
        <f t="shared" ref="N398:N461" si="148">+P398+Q398+R398+S398+T398</f>
        <v>2922653.7443820001</v>
      </c>
      <c r="O398" s="107"/>
      <c r="P398" s="108"/>
      <c r="Q398" s="108"/>
      <c r="R398" s="108">
        <f t="shared" si="147"/>
        <v>1397271.15</v>
      </c>
      <c r="S398" s="108">
        <f>+'Приложение №2'!E398-'Приложение №1'!R398</f>
        <v>1525382.5943820002</v>
      </c>
      <c r="T398" s="108">
        <v>0</v>
      </c>
      <c r="U398" s="107">
        <f t="shared" si="143"/>
        <v>1185.516466305115</v>
      </c>
      <c r="V398" s="107">
        <f t="shared" si="143"/>
        <v>1185.516466305115</v>
      </c>
      <c r="W398" s="135">
        <v>2023</v>
      </c>
      <c r="X398" s="28" t="e">
        <f>+#REF!-'[1]Приложение №1'!$P1587</f>
        <v>#REF!</v>
      </c>
      <c r="Z398" s="30">
        <f t="shared" si="145"/>
        <v>29885518.550000001</v>
      </c>
      <c r="AA398" s="26">
        <v>6731956.0892438404</v>
      </c>
      <c r="AB398" s="26">
        <v>2468626.27801314</v>
      </c>
      <c r="AC398" s="26">
        <v>2579135.1598849199</v>
      </c>
      <c r="AD398" s="26">
        <v>1614732.13773312</v>
      </c>
      <c r="AE398" s="26">
        <v>0</v>
      </c>
      <c r="AF398" s="26"/>
      <c r="AG398" s="26">
        <v>222240.79473288002</v>
      </c>
      <c r="AH398" s="26">
        <v>0</v>
      </c>
      <c r="AI398" s="26">
        <v>12664980.5522436</v>
      </c>
      <c r="AJ398" s="26">
        <v>0</v>
      </c>
      <c r="AK398" s="26">
        <v>0</v>
      </c>
      <c r="AL398" s="26">
        <v>0</v>
      </c>
      <c r="AM398" s="26">
        <v>2730265.4369999999</v>
      </c>
      <c r="AN398" s="31">
        <v>298855.18550000008</v>
      </c>
      <c r="AO398" s="32">
        <v>574726.9156485002</v>
      </c>
      <c r="AP398" s="77">
        <f>+N398-'Приложение №2'!E398</f>
        <v>0</v>
      </c>
      <c r="AQ398" s="1">
        <v>1122636.1499999999</v>
      </c>
      <c r="AR398" s="1">
        <f>+(K398*10+L398*20)*12*0.85</f>
        <v>274635</v>
      </c>
      <c r="AS398" s="1">
        <f>+(K398*10+L398*20)*12*30</f>
        <v>9693000</v>
      </c>
      <c r="AT398" s="28">
        <f t="shared" si="124"/>
        <v>-8167617.4056179998</v>
      </c>
      <c r="AU398" s="28">
        <f>+P398-'[6]Приложение №1'!$P377</f>
        <v>-392663.06000000006</v>
      </c>
      <c r="AV398" s="28">
        <f>+Q398-'[6]Приложение №1'!$Q377</f>
        <v>0</v>
      </c>
      <c r="AW398" s="28">
        <f>+R398-'[6]Приложение №1'!$R377</f>
        <v>0</v>
      </c>
      <c r="AX398" s="28">
        <f>+S398-'[6]Приложение №1'!$S377</f>
        <v>0</v>
      </c>
      <c r="AY398" s="28">
        <f>+T398-'[6]Приложение №1'!$T377</f>
        <v>0</v>
      </c>
    </row>
    <row r="399" spans="1:51" x14ac:dyDescent="0.25">
      <c r="A399" s="137">
        <f t="shared" si="146"/>
        <v>381</v>
      </c>
      <c r="B399" s="138">
        <f t="shared" si="146"/>
        <v>193</v>
      </c>
      <c r="C399" s="120" t="s">
        <v>46</v>
      </c>
      <c r="D399" s="120" t="s">
        <v>641</v>
      </c>
      <c r="E399" s="121">
        <v>1990</v>
      </c>
      <c r="F399" s="121">
        <v>2015</v>
      </c>
      <c r="G399" s="121" t="s">
        <v>43</v>
      </c>
      <c r="H399" s="121">
        <v>9</v>
      </c>
      <c r="I399" s="121">
        <v>1</v>
      </c>
      <c r="J399" s="107">
        <v>2286.6999999999998</v>
      </c>
      <c r="K399" s="107">
        <v>2021.3</v>
      </c>
      <c r="L399" s="107">
        <v>0</v>
      </c>
      <c r="M399" s="122">
        <v>76</v>
      </c>
      <c r="N399" s="133">
        <f t="shared" si="148"/>
        <v>2330029.3230000003</v>
      </c>
      <c r="O399" s="107"/>
      <c r="P399" s="108"/>
      <c r="Q399" s="108"/>
      <c r="R399" s="108">
        <f t="shared" si="147"/>
        <v>1446929.3654</v>
      </c>
      <c r="S399" s="108">
        <f>+'Приложение №2'!E399-'Приложение №1'!R399</f>
        <v>883099.95760000031</v>
      </c>
      <c r="T399" s="108">
        <v>0</v>
      </c>
      <c r="U399" s="107">
        <f t="shared" si="143"/>
        <v>1152.7380017810322</v>
      </c>
      <c r="V399" s="107">
        <f t="shared" si="143"/>
        <v>1152.7380017810322</v>
      </c>
      <c r="W399" s="135">
        <v>2023</v>
      </c>
      <c r="X399" s="28" t="e">
        <f>+#REF!-'[1]Приложение №1'!$P1588</f>
        <v>#REF!</v>
      </c>
      <c r="Z399" s="30">
        <f t="shared" si="145"/>
        <v>2588921.4700000002</v>
      </c>
      <c r="AA399" s="26">
        <v>0</v>
      </c>
      <c r="AB399" s="26">
        <v>0</v>
      </c>
      <c r="AC399" s="26">
        <v>0</v>
      </c>
      <c r="AD399" s="26">
        <v>0</v>
      </c>
      <c r="AE399" s="26">
        <v>0</v>
      </c>
      <c r="AF399" s="26"/>
      <c r="AG399" s="26">
        <v>0</v>
      </c>
      <c r="AH399" s="26">
        <v>0</v>
      </c>
      <c r="AI399" s="26">
        <v>2280166.6954878005</v>
      </c>
      <c r="AJ399" s="26">
        <v>0</v>
      </c>
      <c r="AK399" s="26">
        <v>0</v>
      </c>
      <c r="AL399" s="26">
        <v>0</v>
      </c>
      <c r="AM399" s="26">
        <v>233002.93230000001</v>
      </c>
      <c r="AN399" s="31">
        <v>25889.214700000004</v>
      </c>
      <c r="AO399" s="32">
        <v>49862.627512200008</v>
      </c>
      <c r="AP399" s="77">
        <f>+N399-'Приложение №2'!E399</f>
        <v>0</v>
      </c>
      <c r="AQ399" s="1">
        <v>1172925.98</v>
      </c>
      <c r="AR399" s="1">
        <f>+(K399*13.29+L399*22.52)*12*0.85</f>
        <v>274003.38539999997</v>
      </c>
      <c r="AS399" s="1">
        <f>+(K399*13.29+L399*22.52)*12*30</f>
        <v>9670707.7200000007</v>
      </c>
      <c r="AT399" s="28">
        <f t="shared" si="124"/>
        <v>-8787607.7624000013</v>
      </c>
      <c r="AU399" s="28">
        <f>+P399-'[6]Приложение №1'!$P378</f>
        <v>0</v>
      </c>
      <c r="AV399" s="28">
        <f>+Q399-'[6]Приложение №1'!$Q378</f>
        <v>0</v>
      </c>
      <c r="AW399" s="28">
        <f>+R399-'[6]Приложение №1'!$R378</f>
        <v>0</v>
      </c>
      <c r="AX399" s="28">
        <f>+S399-'[6]Приложение №1'!$S378</f>
        <v>0</v>
      </c>
      <c r="AY399" s="28">
        <f>+T399-'[6]Приложение №1'!$T378</f>
        <v>0</v>
      </c>
    </row>
    <row r="400" spans="1:51" x14ac:dyDescent="0.25">
      <c r="A400" s="137">
        <f t="shared" si="146"/>
        <v>382</v>
      </c>
      <c r="B400" s="138">
        <f t="shared" si="146"/>
        <v>194</v>
      </c>
      <c r="C400" s="120" t="s">
        <v>46</v>
      </c>
      <c r="D400" s="120" t="s">
        <v>177</v>
      </c>
      <c r="E400" s="121">
        <v>1967</v>
      </c>
      <c r="F400" s="121">
        <v>2015</v>
      </c>
      <c r="G400" s="121" t="s">
        <v>43</v>
      </c>
      <c r="H400" s="121">
        <v>3</v>
      </c>
      <c r="I400" s="121">
        <v>3</v>
      </c>
      <c r="J400" s="107">
        <v>1753.5</v>
      </c>
      <c r="K400" s="107">
        <v>1262.7</v>
      </c>
      <c r="L400" s="107">
        <v>455.8</v>
      </c>
      <c r="M400" s="122">
        <v>37</v>
      </c>
      <c r="N400" s="133">
        <f t="shared" si="148"/>
        <v>1941365.751134</v>
      </c>
      <c r="O400" s="107"/>
      <c r="P400" s="108"/>
      <c r="Q400" s="108"/>
      <c r="R400" s="108">
        <f t="shared" si="147"/>
        <v>1293797.6600000001</v>
      </c>
      <c r="S400" s="108">
        <f>+'Приложение №2'!E400-'Приложение №1'!R400</f>
        <v>647568.09113399987</v>
      </c>
      <c r="T400" s="108">
        <v>0</v>
      </c>
      <c r="U400" s="107">
        <f t="shared" ref="U400:V419" si="149">$N400/($K400+$L400)</f>
        <v>1129.6862095629911</v>
      </c>
      <c r="V400" s="107">
        <f t="shared" si="149"/>
        <v>1129.6862095629911</v>
      </c>
      <c r="W400" s="135">
        <v>2023</v>
      </c>
      <c r="X400" s="28" t="e">
        <f>+#REF!-'[1]Приложение №1'!$P1589</f>
        <v>#REF!</v>
      </c>
      <c r="Z400" s="30">
        <f t="shared" si="145"/>
        <v>34868708.160000004</v>
      </c>
      <c r="AA400" s="26">
        <v>5996729.9781097798</v>
      </c>
      <c r="AB400" s="26">
        <v>3648890.3764198199</v>
      </c>
      <c r="AC400" s="26">
        <v>1719410.9272174803</v>
      </c>
      <c r="AD400" s="26">
        <v>1465289.8013577599</v>
      </c>
      <c r="AE400" s="26">
        <v>0</v>
      </c>
      <c r="AF400" s="26"/>
      <c r="AG400" s="26">
        <v>511593.88939176005</v>
      </c>
      <c r="AH400" s="26">
        <v>0</v>
      </c>
      <c r="AI400" s="26">
        <v>17347540.944257997</v>
      </c>
      <c r="AJ400" s="26">
        <v>0</v>
      </c>
      <c r="AK400" s="26">
        <v>0</v>
      </c>
      <c r="AL400" s="26">
        <v>0</v>
      </c>
      <c r="AM400" s="26">
        <v>3159448.9173999997</v>
      </c>
      <c r="AN400" s="31">
        <v>348687.08159999998</v>
      </c>
      <c r="AO400" s="32">
        <v>671116.24424539995</v>
      </c>
      <c r="AP400" s="77">
        <f>+N400-'Приложение №2'!E400</f>
        <v>0</v>
      </c>
      <c r="AQ400" s="1">
        <v>1072019.06</v>
      </c>
      <c r="AR400" s="1">
        <f t="shared" ref="AR400:AR418" si="150">+(K400*10+L400*20)*12*0.85</f>
        <v>221778.6</v>
      </c>
      <c r="AS400" s="1">
        <f t="shared" ref="AS400:AS417" si="151">+(K400*10+L400*20)*12*30</f>
        <v>7827480</v>
      </c>
      <c r="AT400" s="28">
        <f t="shared" si="124"/>
        <v>-7179911.9088660004</v>
      </c>
      <c r="AU400" s="28">
        <f>+P400-'[6]Приложение №1'!$P379</f>
        <v>0</v>
      </c>
      <c r="AV400" s="28">
        <f>+Q400-'[6]Приложение №1'!$Q379</f>
        <v>0</v>
      </c>
      <c r="AW400" s="28">
        <f>+R400-'[6]Приложение №1'!$R379</f>
        <v>0</v>
      </c>
      <c r="AX400" s="28">
        <f>+S400-'[6]Приложение №1'!$S379</f>
        <v>0</v>
      </c>
      <c r="AY400" s="28">
        <f>+T400-'[6]Приложение №1'!$T379</f>
        <v>0</v>
      </c>
    </row>
    <row r="401" spans="1:51" x14ac:dyDescent="0.25">
      <c r="A401" s="137">
        <f t="shared" si="146"/>
        <v>383</v>
      </c>
      <c r="B401" s="138">
        <f t="shared" si="146"/>
        <v>195</v>
      </c>
      <c r="C401" s="120" t="s">
        <v>46</v>
      </c>
      <c r="D401" s="120" t="s">
        <v>178</v>
      </c>
      <c r="E401" s="121">
        <v>1968</v>
      </c>
      <c r="F401" s="121">
        <v>2015</v>
      </c>
      <c r="G401" s="121" t="s">
        <v>43</v>
      </c>
      <c r="H401" s="121">
        <v>4</v>
      </c>
      <c r="I401" s="121">
        <v>2</v>
      </c>
      <c r="J401" s="107">
        <v>1345.8</v>
      </c>
      <c r="K401" s="107">
        <v>1132</v>
      </c>
      <c r="L401" s="107">
        <v>118.5</v>
      </c>
      <c r="M401" s="122">
        <v>46</v>
      </c>
      <c r="N401" s="133">
        <f t="shared" si="148"/>
        <v>1477282.3724400001</v>
      </c>
      <c r="O401" s="107"/>
      <c r="P401" s="108"/>
      <c r="Q401" s="108"/>
      <c r="R401" s="108">
        <f t="shared" si="147"/>
        <v>589579.19999999995</v>
      </c>
      <c r="S401" s="108">
        <f>+'Приложение №2'!E401-'Приложение №1'!R401</f>
        <v>887703.17243999988</v>
      </c>
      <c r="T401" s="108">
        <v>1.1641532182693481E-10</v>
      </c>
      <c r="U401" s="107">
        <f t="shared" si="149"/>
        <v>1181.3533566093563</v>
      </c>
      <c r="V401" s="107">
        <f t="shared" si="149"/>
        <v>1181.3533566093563</v>
      </c>
      <c r="W401" s="135">
        <v>2023</v>
      </c>
      <c r="X401" s="28" t="e">
        <f>+#REF!-'[1]Приложение №1'!$P1590</f>
        <v>#REF!</v>
      </c>
      <c r="Z401" s="30">
        <f t="shared" si="145"/>
        <v>15236078.209999999</v>
      </c>
      <c r="AA401" s="26">
        <v>3432050.5232340605</v>
      </c>
      <c r="AB401" s="26">
        <v>1258542.09075378</v>
      </c>
      <c r="AC401" s="26">
        <v>1314881.1524797198</v>
      </c>
      <c r="AD401" s="26">
        <v>823214.26413408003</v>
      </c>
      <c r="AE401" s="26">
        <v>0</v>
      </c>
      <c r="AF401" s="26"/>
      <c r="AG401" s="26">
        <v>113301.62983020001</v>
      </c>
      <c r="AH401" s="26">
        <v>0</v>
      </c>
      <c r="AI401" s="26">
        <v>6456793.9123547999</v>
      </c>
      <c r="AJ401" s="26">
        <v>0</v>
      </c>
      <c r="AK401" s="26">
        <v>0</v>
      </c>
      <c r="AL401" s="26">
        <v>0</v>
      </c>
      <c r="AM401" s="26">
        <v>1391929.5954999998</v>
      </c>
      <c r="AN401" s="31">
        <v>152360.78209999998</v>
      </c>
      <c r="AO401" s="32">
        <v>293004.25961336005</v>
      </c>
      <c r="AP401" s="77">
        <f>+N401-'Приложение №2'!E401</f>
        <v>0</v>
      </c>
      <c r="AQ401" s="1">
        <v>449941.2</v>
      </c>
      <c r="AR401" s="1">
        <f t="shared" si="150"/>
        <v>139638</v>
      </c>
      <c r="AS401" s="1">
        <f t="shared" si="151"/>
        <v>4928400</v>
      </c>
      <c r="AT401" s="28">
        <f t="shared" si="124"/>
        <v>-4040696.8275600001</v>
      </c>
      <c r="AU401" s="28">
        <f>+P401-'[6]Приложение №1'!$P380</f>
        <v>0</v>
      </c>
      <c r="AV401" s="28">
        <f>+Q401-'[6]Приложение №1'!$Q380</f>
        <v>0</v>
      </c>
      <c r="AW401" s="28">
        <f>+R401-'[6]Приложение №1'!$R380</f>
        <v>0</v>
      </c>
      <c r="AX401" s="28">
        <f>+S401-'[6]Приложение №1'!$S380</f>
        <v>0</v>
      </c>
      <c r="AY401" s="28">
        <f>+T401-'[6]Приложение №1'!$T380</f>
        <v>0</v>
      </c>
    </row>
    <row r="402" spans="1:51" x14ac:dyDescent="0.25">
      <c r="A402" s="137">
        <f t="shared" si="146"/>
        <v>384</v>
      </c>
      <c r="B402" s="138">
        <f t="shared" si="146"/>
        <v>196</v>
      </c>
      <c r="C402" s="120" t="s">
        <v>46</v>
      </c>
      <c r="D402" s="120" t="s">
        <v>179</v>
      </c>
      <c r="E402" s="121">
        <v>1967</v>
      </c>
      <c r="F402" s="121">
        <v>2013</v>
      </c>
      <c r="G402" s="121" t="s">
        <v>43</v>
      </c>
      <c r="H402" s="121">
        <v>3</v>
      </c>
      <c r="I402" s="121">
        <v>3</v>
      </c>
      <c r="J402" s="107">
        <v>1661.3</v>
      </c>
      <c r="K402" s="107">
        <v>1287.5999999999999</v>
      </c>
      <c r="L402" s="107">
        <v>250.7</v>
      </c>
      <c r="M402" s="122">
        <v>74</v>
      </c>
      <c r="N402" s="133">
        <f t="shared" si="148"/>
        <v>1889068.518868</v>
      </c>
      <c r="O402" s="107"/>
      <c r="P402" s="108"/>
      <c r="Q402" s="108"/>
      <c r="R402" s="108">
        <f t="shared" si="147"/>
        <v>899609.91</v>
      </c>
      <c r="S402" s="108">
        <f>+'Приложение №2'!E402-'Приложение №1'!R402</f>
        <v>989458.60886799998</v>
      </c>
      <c r="T402" s="108">
        <v>0</v>
      </c>
      <c r="U402" s="107">
        <f t="shared" si="149"/>
        <v>1228.0234797295716</v>
      </c>
      <c r="V402" s="107">
        <f t="shared" si="149"/>
        <v>1228.0234797295716</v>
      </c>
      <c r="W402" s="135">
        <v>2023</v>
      </c>
      <c r="X402" s="28" t="e">
        <f>+#REF!-'[1]Приложение №1'!$P1593</f>
        <v>#REF!</v>
      </c>
      <c r="Z402" s="30">
        <f t="shared" si="145"/>
        <v>14747148.670000002</v>
      </c>
      <c r="AA402" s="26">
        <v>5828747.4672991196</v>
      </c>
      <c r="AB402" s="26">
        <v>3546676.3733486403</v>
      </c>
      <c r="AC402" s="26">
        <v>1671246.17812992</v>
      </c>
      <c r="AD402" s="26">
        <v>1424243.59065324</v>
      </c>
      <c r="AE402" s="26">
        <v>0</v>
      </c>
      <c r="AF402" s="26"/>
      <c r="AG402" s="26">
        <v>497262.94218215998</v>
      </c>
      <c r="AH402" s="26">
        <v>0</v>
      </c>
      <c r="AI402" s="26">
        <v>0</v>
      </c>
      <c r="AJ402" s="26">
        <v>0</v>
      </c>
      <c r="AK402" s="26">
        <v>0</v>
      </c>
      <c r="AL402" s="26">
        <v>0</v>
      </c>
      <c r="AM402" s="26">
        <v>1347912.8755000001</v>
      </c>
      <c r="AN402" s="31">
        <v>147471.48670000001</v>
      </c>
      <c r="AO402" s="32">
        <v>283587.75618692004</v>
      </c>
      <c r="AP402" s="77">
        <f>+N402-'Приложение №2'!E402</f>
        <v>0</v>
      </c>
      <c r="AQ402" s="1">
        <v>717131.91</v>
      </c>
      <c r="AR402" s="1">
        <f t="shared" si="150"/>
        <v>182478</v>
      </c>
      <c r="AS402" s="1">
        <f t="shared" si="151"/>
        <v>6440400</v>
      </c>
      <c r="AT402" s="28">
        <f t="shared" si="124"/>
        <v>-5450941.3911319999</v>
      </c>
      <c r="AU402" s="28">
        <f>+P402-'[6]Приложение №1'!$P381</f>
        <v>0</v>
      </c>
      <c r="AV402" s="28">
        <f>+Q402-'[6]Приложение №1'!$Q381</f>
        <v>0</v>
      </c>
      <c r="AW402" s="28">
        <f>+R402-'[6]Приложение №1'!$R381</f>
        <v>0</v>
      </c>
      <c r="AX402" s="28">
        <f>+S402-'[6]Приложение №1'!$S381</f>
        <v>0</v>
      </c>
      <c r="AY402" s="28">
        <f>+T402-'[6]Приложение №1'!$T381</f>
        <v>0</v>
      </c>
    </row>
    <row r="403" spans="1:51" x14ac:dyDescent="0.25">
      <c r="A403" s="137">
        <f t="shared" si="146"/>
        <v>385</v>
      </c>
      <c r="B403" s="138">
        <f t="shared" si="146"/>
        <v>197</v>
      </c>
      <c r="C403" s="120" t="s">
        <v>46</v>
      </c>
      <c r="D403" s="120" t="s">
        <v>233</v>
      </c>
      <c r="E403" s="121">
        <v>1969</v>
      </c>
      <c r="F403" s="121">
        <v>1969</v>
      </c>
      <c r="G403" s="121" t="s">
        <v>43</v>
      </c>
      <c r="H403" s="121">
        <v>4</v>
      </c>
      <c r="I403" s="121">
        <v>2</v>
      </c>
      <c r="J403" s="107">
        <v>1357.7</v>
      </c>
      <c r="K403" s="107">
        <v>1089.9000000000001</v>
      </c>
      <c r="L403" s="107">
        <v>150.80000000000001</v>
      </c>
      <c r="M403" s="122">
        <v>48</v>
      </c>
      <c r="N403" s="133">
        <f t="shared" si="148"/>
        <v>1536021.1428999999</v>
      </c>
      <c r="O403" s="107"/>
      <c r="P403" s="108"/>
      <c r="Q403" s="108"/>
      <c r="R403" s="108">
        <f t="shared" si="147"/>
        <v>626793.46</v>
      </c>
      <c r="S403" s="108">
        <f>+'Приложение №2'!E403-'Приложение №1'!R403</f>
        <v>909227.6828999999</v>
      </c>
      <c r="T403" s="108">
        <v>0</v>
      </c>
      <c r="U403" s="107">
        <f t="shared" si="149"/>
        <v>1238.0278414604657</v>
      </c>
      <c r="V403" s="107">
        <f t="shared" si="149"/>
        <v>1238.0278414604657</v>
      </c>
      <c r="W403" s="135">
        <v>2023</v>
      </c>
      <c r="X403" s="28" t="e">
        <f>+#REF!-'[1]Приложение №1'!$P1595</f>
        <v>#REF!</v>
      </c>
      <c r="Z403" s="30">
        <f t="shared" si="145"/>
        <v>8198144.5299999993</v>
      </c>
      <c r="AA403" s="26">
        <v>3559333.0036773602</v>
      </c>
      <c r="AB403" s="26">
        <v>1305216.9162526201</v>
      </c>
      <c r="AC403" s="26">
        <v>1363645.3966245598</v>
      </c>
      <c r="AD403" s="26">
        <v>853744.33726847998</v>
      </c>
      <c r="AE403" s="26">
        <v>0</v>
      </c>
      <c r="AF403" s="26"/>
      <c r="AG403" s="26">
        <v>117503.58224136</v>
      </c>
      <c r="AH403" s="26">
        <v>0</v>
      </c>
      <c r="AI403" s="26">
        <v>0</v>
      </c>
      <c r="AJ403" s="26">
        <v>0</v>
      </c>
      <c r="AK403" s="26">
        <v>0</v>
      </c>
      <c r="AL403" s="26">
        <v>0</v>
      </c>
      <c r="AM403" s="26">
        <v>759282.60640000005</v>
      </c>
      <c r="AN403" s="31">
        <v>81981.445299999992</v>
      </c>
      <c r="AO403" s="32">
        <v>157437.24223562001</v>
      </c>
      <c r="AP403" s="77">
        <f>+N403-'Приложение №2'!E403</f>
        <v>0</v>
      </c>
      <c r="AQ403" s="1">
        <v>484860.46</v>
      </c>
      <c r="AR403" s="1">
        <f t="shared" si="150"/>
        <v>141933</v>
      </c>
      <c r="AS403" s="1">
        <f t="shared" si="151"/>
        <v>5009400</v>
      </c>
      <c r="AT403" s="28">
        <f t="shared" si="124"/>
        <v>-4100172.3171000001</v>
      </c>
      <c r="AU403" s="28">
        <f>+P403-'[6]Приложение №1'!$P382</f>
        <v>0</v>
      </c>
      <c r="AV403" s="28">
        <f>+Q403-'[6]Приложение №1'!$Q382</f>
        <v>0</v>
      </c>
      <c r="AW403" s="28">
        <f>+R403-'[6]Приложение №1'!$R382</f>
        <v>0</v>
      </c>
      <c r="AX403" s="28">
        <f>+S403-'[6]Приложение №1'!$S382</f>
        <v>0</v>
      </c>
      <c r="AY403" s="28">
        <f>+T403-'[6]Приложение №1'!$T382</f>
        <v>0</v>
      </c>
    </row>
    <row r="404" spans="1:51" x14ac:dyDescent="0.25">
      <c r="A404" s="137">
        <f t="shared" si="146"/>
        <v>386</v>
      </c>
      <c r="B404" s="138">
        <f t="shared" si="146"/>
        <v>198</v>
      </c>
      <c r="C404" s="120" t="s">
        <v>46</v>
      </c>
      <c r="D404" s="120" t="s">
        <v>180</v>
      </c>
      <c r="E404" s="121">
        <v>1972</v>
      </c>
      <c r="F404" s="121">
        <v>1972</v>
      </c>
      <c r="G404" s="121" t="s">
        <v>43</v>
      </c>
      <c r="H404" s="121">
        <v>4</v>
      </c>
      <c r="I404" s="121">
        <v>2</v>
      </c>
      <c r="J404" s="107">
        <v>1419.91</v>
      </c>
      <c r="K404" s="107">
        <v>1089.9100000000001</v>
      </c>
      <c r="L404" s="107">
        <v>330</v>
      </c>
      <c r="M404" s="122">
        <v>53</v>
      </c>
      <c r="N404" s="133">
        <f t="shared" si="148"/>
        <v>1344004.72</v>
      </c>
      <c r="O404" s="107"/>
      <c r="P404" s="108"/>
      <c r="Q404" s="108"/>
      <c r="R404" s="108">
        <f t="shared" si="147"/>
        <v>992178.5199999999</v>
      </c>
      <c r="S404" s="108">
        <f>+'Приложение №2'!E404-'Приложение №1'!R404</f>
        <v>351826.20000000007</v>
      </c>
      <c r="T404" s="108">
        <v>0</v>
      </c>
      <c r="U404" s="107">
        <f t="shared" si="149"/>
        <v>946.54218929368756</v>
      </c>
      <c r="V404" s="107">
        <f t="shared" si="149"/>
        <v>946.54218929368756</v>
      </c>
      <c r="W404" s="135">
        <v>2023</v>
      </c>
      <c r="X404" s="28" t="e">
        <f>+#REF!-'[1]Приложение №1'!$P1599</f>
        <v>#REF!</v>
      </c>
      <c r="Z404" s="30">
        <f t="shared" si="145"/>
        <v>7184246.7200000016</v>
      </c>
      <c r="AA404" s="26">
        <v>3119135.8409757004</v>
      </c>
      <c r="AB404" s="26">
        <v>1143795.4428423601</v>
      </c>
      <c r="AC404" s="26">
        <v>1194997.8356148002</v>
      </c>
      <c r="AD404" s="26">
        <v>748158.30905759998</v>
      </c>
      <c r="AE404" s="26">
        <v>0</v>
      </c>
      <c r="AF404" s="26"/>
      <c r="AG404" s="26">
        <v>102971.44054764</v>
      </c>
      <c r="AH404" s="26">
        <v>0</v>
      </c>
      <c r="AI404" s="26">
        <v>0</v>
      </c>
      <c r="AJ404" s="26">
        <v>0</v>
      </c>
      <c r="AK404" s="26">
        <v>0</v>
      </c>
      <c r="AL404" s="26">
        <v>0</v>
      </c>
      <c r="AM404" s="26">
        <v>665379.04429999995</v>
      </c>
      <c r="AN404" s="31">
        <v>71842.467199999999</v>
      </c>
      <c r="AO404" s="32">
        <v>137966.3394619</v>
      </c>
      <c r="AP404" s="77">
        <f>+N404-'Приложение №2'!E404</f>
        <v>0</v>
      </c>
      <c r="AQ404" s="1">
        <v>813687.7</v>
      </c>
      <c r="AR404" s="1">
        <f t="shared" si="150"/>
        <v>178490.81999999998</v>
      </c>
      <c r="AS404" s="1">
        <f t="shared" si="151"/>
        <v>6299675.9999999991</v>
      </c>
      <c r="AT404" s="28">
        <f t="shared" si="124"/>
        <v>-5947849.7999999989</v>
      </c>
      <c r="AU404" s="28">
        <f>+P404-'[6]Приложение №1'!$P383</f>
        <v>0</v>
      </c>
      <c r="AV404" s="28">
        <f>+Q404-'[6]Приложение №1'!$Q383</f>
        <v>0</v>
      </c>
      <c r="AW404" s="28">
        <f>+R404-'[6]Приложение №1'!$R383</f>
        <v>0</v>
      </c>
      <c r="AX404" s="28">
        <f>+S404-'[6]Приложение №1'!$S383</f>
        <v>0</v>
      </c>
      <c r="AY404" s="28">
        <f>+T404-'[6]Приложение №1'!$T383</f>
        <v>0</v>
      </c>
    </row>
    <row r="405" spans="1:51" x14ac:dyDescent="0.25">
      <c r="A405" s="137">
        <f t="shared" si="146"/>
        <v>387</v>
      </c>
      <c r="B405" s="138">
        <f t="shared" si="146"/>
        <v>199</v>
      </c>
      <c r="C405" s="120" t="s">
        <v>46</v>
      </c>
      <c r="D405" s="120" t="s">
        <v>181</v>
      </c>
      <c r="E405" s="121">
        <v>1969</v>
      </c>
      <c r="F405" s="121">
        <v>1969</v>
      </c>
      <c r="G405" s="121" t="s">
        <v>43</v>
      </c>
      <c r="H405" s="121">
        <v>4</v>
      </c>
      <c r="I405" s="121">
        <v>2</v>
      </c>
      <c r="J405" s="107">
        <v>1375</v>
      </c>
      <c r="K405" s="107">
        <v>1257.0999999999999</v>
      </c>
      <c r="L405" s="107">
        <v>0</v>
      </c>
      <c r="M405" s="122">
        <v>53</v>
      </c>
      <c r="N405" s="133">
        <f t="shared" si="148"/>
        <v>1553171.629552</v>
      </c>
      <c r="O405" s="107"/>
      <c r="P405" s="108"/>
      <c r="Q405" s="108"/>
      <c r="R405" s="108">
        <f t="shared" si="147"/>
        <v>727887.47</v>
      </c>
      <c r="S405" s="108">
        <f>+'Приложение №2'!E405-'Приложение №1'!R405</f>
        <v>825284.159552</v>
      </c>
      <c r="T405" s="108">
        <v>0</v>
      </c>
      <c r="U405" s="107">
        <f t="shared" si="149"/>
        <v>1235.519552582929</v>
      </c>
      <c r="V405" s="107">
        <f t="shared" si="149"/>
        <v>1235.519552582929</v>
      </c>
      <c r="W405" s="135">
        <v>2023</v>
      </c>
      <c r="X405" s="28" t="e">
        <f>+#REF!-'[1]Приложение №1'!$P1601</f>
        <v>#REF!</v>
      </c>
      <c r="Z405" s="30">
        <f t="shared" si="145"/>
        <v>15991596.719999999</v>
      </c>
      <c r="AA405" s="26">
        <v>3602237.2105683601</v>
      </c>
      <c r="AB405" s="26">
        <v>1320950.0034994199</v>
      </c>
      <c r="AC405" s="26">
        <v>1380082.7808234601</v>
      </c>
      <c r="AD405" s="26">
        <v>864035.37315648003</v>
      </c>
      <c r="AE405" s="26">
        <v>0</v>
      </c>
      <c r="AF405" s="26"/>
      <c r="AG405" s="26">
        <v>118919.97069456</v>
      </c>
      <c r="AH405" s="26">
        <v>0</v>
      </c>
      <c r="AI405" s="26">
        <v>6776969.9586876007</v>
      </c>
      <c r="AJ405" s="26">
        <v>0</v>
      </c>
      <c r="AK405" s="26">
        <v>0</v>
      </c>
      <c r="AL405" s="26">
        <v>0</v>
      </c>
      <c r="AM405" s="26">
        <v>1460951.8569999998</v>
      </c>
      <c r="AN405" s="31">
        <v>159915.96719999998</v>
      </c>
      <c r="AO405" s="32">
        <v>307533.59837011999</v>
      </c>
      <c r="AP405" s="77">
        <f>+N405-'Приложение №2'!E405</f>
        <v>0</v>
      </c>
      <c r="AQ405" s="1">
        <v>599663.27</v>
      </c>
      <c r="AR405" s="1">
        <f t="shared" si="150"/>
        <v>128224.2</v>
      </c>
      <c r="AS405" s="1">
        <f t="shared" si="151"/>
        <v>4525560</v>
      </c>
      <c r="AT405" s="28">
        <f t="shared" si="124"/>
        <v>-3700275.840448</v>
      </c>
      <c r="AU405" s="28">
        <f>+P405-'[6]Приложение №1'!$P384</f>
        <v>-707152.37000000011</v>
      </c>
      <c r="AV405" s="28">
        <f>+Q405-'[6]Приложение №1'!$Q384</f>
        <v>0</v>
      </c>
      <c r="AW405" s="28">
        <f>+R405-'[6]Приложение №1'!$R384</f>
        <v>0</v>
      </c>
      <c r="AX405" s="28">
        <f>+S405-'[6]Приложение №1'!$S384</f>
        <v>0</v>
      </c>
      <c r="AY405" s="28">
        <f>+T405-'[6]Приложение №1'!$T384</f>
        <v>0</v>
      </c>
    </row>
    <row r="406" spans="1:51" x14ac:dyDescent="0.25">
      <c r="A406" s="137">
        <f t="shared" si="146"/>
        <v>388</v>
      </c>
      <c r="B406" s="138">
        <f t="shared" si="146"/>
        <v>200</v>
      </c>
      <c r="C406" s="120" t="s">
        <v>46</v>
      </c>
      <c r="D406" s="120" t="s">
        <v>182</v>
      </c>
      <c r="E406" s="121">
        <v>1971</v>
      </c>
      <c r="F406" s="121">
        <v>1971</v>
      </c>
      <c r="G406" s="121" t="s">
        <v>43</v>
      </c>
      <c r="H406" s="121">
        <v>4</v>
      </c>
      <c r="I406" s="121">
        <v>2</v>
      </c>
      <c r="J406" s="107">
        <v>1403.6</v>
      </c>
      <c r="K406" s="107">
        <v>1280.0999999999999</v>
      </c>
      <c r="L406" s="107">
        <v>42.7</v>
      </c>
      <c r="M406" s="122">
        <v>67</v>
      </c>
      <c r="N406" s="133">
        <f t="shared" si="148"/>
        <v>1527666.804064</v>
      </c>
      <c r="O406" s="107"/>
      <c r="P406" s="108"/>
      <c r="Q406" s="108"/>
      <c r="R406" s="108">
        <f t="shared" si="147"/>
        <v>685177.66</v>
      </c>
      <c r="S406" s="108">
        <f>+'Приложение №2'!E406-'Приложение №1'!R406</f>
        <v>842489.14406399999</v>
      </c>
      <c r="T406" s="108">
        <v>0</v>
      </c>
      <c r="U406" s="107">
        <f t="shared" si="149"/>
        <v>1154.8736045237376</v>
      </c>
      <c r="V406" s="107">
        <f t="shared" si="149"/>
        <v>1154.8736045237376</v>
      </c>
      <c r="W406" s="135">
        <v>2023</v>
      </c>
      <c r="X406" s="28" t="e">
        <f>+#REF!-'[1]Приложение №1'!$P1602</f>
        <v>#REF!</v>
      </c>
      <c r="Z406" s="30">
        <f t="shared" si="145"/>
        <v>9191213.3916225992</v>
      </c>
      <c r="AA406" s="26">
        <v>3593084.3130982798</v>
      </c>
      <c r="AB406" s="26">
        <v>1317593.61677916</v>
      </c>
      <c r="AC406" s="26">
        <v>1376576.13711912</v>
      </c>
      <c r="AD406" s="26">
        <v>861839.95216703997</v>
      </c>
      <c r="AE406" s="26">
        <v>0</v>
      </c>
      <c r="AF406" s="26"/>
      <c r="AG406" s="26">
        <v>118617.80974259999</v>
      </c>
      <c r="AH406" s="26">
        <v>0</v>
      </c>
      <c r="AI406" s="26"/>
      <c r="AJ406" s="26">
        <v>0</v>
      </c>
      <c r="AK406" s="26">
        <v>0</v>
      </c>
      <c r="AL406" s="26">
        <v>0</v>
      </c>
      <c r="AM406" s="26">
        <v>1457239.736</v>
      </c>
      <c r="AN406" s="31">
        <v>159509.63800000001</v>
      </c>
      <c r="AO406" s="32">
        <v>306752.18871640007</v>
      </c>
      <c r="AP406" s="77">
        <f>+N406-'Приложение №2'!E406</f>
        <v>0</v>
      </c>
      <c r="AQ406" s="1">
        <v>545896.66</v>
      </c>
      <c r="AR406" s="1">
        <f t="shared" si="150"/>
        <v>139281</v>
      </c>
      <c r="AS406" s="1">
        <f t="shared" si="151"/>
        <v>4915800</v>
      </c>
      <c r="AT406" s="28">
        <f t="shared" si="124"/>
        <v>-4073310.8559360001</v>
      </c>
      <c r="AU406" s="28">
        <f>+P406-'[6]Приложение №1'!$P385</f>
        <v>-3297163.38</v>
      </c>
      <c r="AV406" s="28">
        <f>+Q406-'[6]Приложение №1'!$Q385</f>
        <v>0</v>
      </c>
      <c r="AW406" s="28">
        <f>+R406-'[6]Приложение №1'!$R385</f>
        <v>0</v>
      </c>
      <c r="AX406" s="28">
        <f>+S406-'[6]Приложение №1'!$S385</f>
        <v>0</v>
      </c>
      <c r="AY406" s="28">
        <f>+T406-'[6]Приложение №1'!$T385</f>
        <v>0</v>
      </c>
    </row>
    <row r="407" spans="1:51" x14ac:dyDescent="0.25">
      <c r="A407" s="137">
        <f t="shared" si="146"/>
        <v>389</v>
      </c>
      <c r="B407" s="138">
        <f t="shared" si="146"/>
        <v>201</v>
      </c>
      <c r="C407" s="120" t="s">
        <v>46</v>
      </c>
      <c r="D407" s="120" t="s">
        <v>187</v>
      </c>
      <c r="E407" s="121">
        <v>1970</v>
      </c>
      <c r="F407" s="121">
        <v>2015</v>
      </c>
      <c r="G407" s="121" t="s">
        <v>43</v>
      </c>
      <c r="H407" s="121">
        <v>4</v>
      </c>
      <c r="I407" s="121">
        <v>2</v>
      </c>
      <c r="J407" s="107">
        <v>1391.9</v>
      </c>
      <c r="K407" s="107">
        <v>1360</v>
      </c>
      <c r="L407" s="107">
        <v>0</v>
      </c>
      <c r="M407" s="122">
        <v>56</v>
      </c>
      <c r="N407" s="133">
        <f t="shared" si="148"/>
        <v>13671731.356000001</v>
      </c>
      <c r="O407" s="107"/>
      <c r="P407" s="108">
        <v>2814922.1966666668</v>
      </c>
      <c r="Q407" s="108"/>
      <c r="R407" s="108">
        <f t="shared" si="147"/>
        <v>710136.45</v>
      </c>
      <c r="S407" s="108">
        <f>+AS407</f>
        <v>4896000</v>
      </c>
      <c r="T407" s="108">
        <f>+'Приложение №2'!E407-'Приложение №1'!P407-'Приложение №1'!Q407-'Приложение №1'!R407-'Приложение №1'!S407</f>
        <v>5250672.7093333341</v>
      </c>
      <c r="U407" s="107">
        <f t="shared" si="149"/>
        <v>10052.743644117647</v>
      </c>
      <c r="V407" s="107">
        <f t="shared" si="149"/>
        <v>10052.743644117647</v>
      </c>
      <c r="W407" s="135">
        <v>2023</v>
      </c>
      <c r="X407" s="28" t="e">
        <f>+#REF!-'[1]Приложение №1'!$P1605</f>
        <v>#REF!</v>
      </c>
      <c r="Z407" s="30">
        <f t="shared" si="145"/>
        <v>16410623.789999999</v>
      </c>
      <c r="AA407" s="26">
        <v>3696626.46572856</v>
      </c>
      <c r="AB407" s="26">
        <v>1355562.7954423798</v>
      </c>
      <c r="AC407" s="26">
        <v>1416245.0260610401</v>
      </c>
      <c r="AD407" s="26">
        <v>886675.65211008</v>
      </c>
      <c r="AE407" s="26">
        <v>0</v>
      </c>
      <c r="AF407" s="26"/>
      <c r="AG407" s="26">
        <v>122036.02529159999</v>
      </c>
      <c r="AH407" s="26">
        <v>0</v>
      </c>
      <c r="AI407" s="26">
        <v>6954546.5894267997</v>
      </c>
      <c r="AJ407" s="26">
        <v>0</v>
      </c>
      <c r="AK407" s="26">
        <v>0</v>
      </c>
      <c r="AL407" s="26">
        <v>0</v>
      </c>
      <c r="AM407" s="26">
        <v>1499233.111</v>
      </c>
      <c r="AN407" s="31">
        <v>164106.23790000001</v>
      </c>
      <c r="AO407" s="32">
        <v>315591.88703953999</v>
      </c>
      <c r="AP407" s="77">
        <f>+N407-'Приложение №2'!E407</f>
        <v>0</v>
      </c>
      <c r="AQ407" s="1">
        <v>571416.44999999995</v>
      </c>
      <c r="AR407" s="1">
        <f t="shared" si="150"/>
        <v>138720</v>
      </c>
      <c r="AS407" s="1">
        <f t="shared" si="151"/>
        <v>4896000</v>
      </c>
      <c r="AT407" s="28">
        <f t="shared" si="124"/>
        <v>0</v>
      </c>
      <c r="AU407" s="28">
        <f>+P407-'[6]Приложение №1'!$P386</f>
        <v>0</v>
      </c>
      <c r="AV407" s="28">
        <f>+Q407-'[6]Приложение №1'!$Q386</f>
        <v>0</v>
      </c>
      <c r="AW407" s="28">
        <f>+R407-'[6]Приложение №1'!$R386</f>
        <v>0</v>
      </c>
      <c r="AX407" s="28">
        <f>+S407-'[6]Приложение №1'!$S386</f>
        <v>0</v>
      </c>
      <c r="AY407" s="28">
        <f>+T407-'[6]Приложение №1'!$T386</f>
        <v>0</v>
      </c>
    </row>
    <row r="408" spans="1:51" x14ac:dyDescent="0.25">
      <c r="A408" s="137">
        <f t="shared" si="146"/>
        <v>390</v>
      </c>
      <c r="B408" s="138">
        <f t="shared" si="146"/>
        <v>202</v>
      </c>
      <c r="C408" s="120" t="s">
        <v>46</v>
      </c>
      <c r="D408" s="120" t="s">
        <v>188</v>
      </c>
      <c r="E408" s="121">
        <v>1970</v>
      </c>
      <c r="F408" s="121">
        <v>2015</v>
      </c>
      <c r="G408" s="121" t="s">
        <v>43</v>
      </c>
      <c r="H408" s="121">
        <v>4</v>
      </c>
      <c r="I408" s="121">
        <v>3</v>
      </c>
      <c r="J408" s="107">
        <v>2337.1999999999998</v>
      </c>
      <c r="K408" s="107">
        <v>1988.4</v>
      </c>
      <c r="L408" s="107">
        <v>46.7</v>
      </c>
      <c r="M408" s="122">
        <v>101</v>
      </c>
      <c r="N408" s="133">
        <f t="shared" si="148"/>
        <v>24002564.1494</v>
      </c>
      <c r="O408" s="107"/>
      <c r="P408" s="108">
        <v>5180548.3166666673</v>
      </c>
      <c r="Q408" s="108"/>
      <c r="R408" s="108">
        <f t="shared" si="147"/>
        <v>1173314.25</v>
      </c>
      <c r="S408" s="108">
        <f>+AS408</f>
        <v>7494480</v>
      </c>
      <c r="T408" s="108">
        <f>+'Приложение №2'!E408-'Приложение №1'!P408-'Приложение №1'!Q408-'Приложение №1'!R408-'Приложение №1'!S408</f>
        <v>10154221.582733333</v>
      </c>
      <c r="U408" s="107">
        <f t="shared" si="149"/>
        <v>11794.292245786446</v>
      </c>
      <c r="V408" s="107">
        <f t="shared" si="149"/>
        <v>11794.292245786446</v>
      </c>
      <c r="W408" s="135">
        <v>2023</v>
      </c>
      <c r="X408" s="28" t="e">
        <f>+#REF!-'[1]Приложение №1'!$P1606</f>
        <v>#REF!</v>
      </c>
      <c r="Z408" s="30">
        <f t="shared" si="145"/>
        <v>25877715.080000002</v>
      </c>
      <c r="AA408" s="26">
        <v>5829165.7651718399</v>
      </c>
      <c r="AB408" s="26">
        <v>2137570.6530305399</v>
      </c>
      <c r="AC408" s="26">
        <v>2233259.7213103799</v>
      </c>
      <c r="AD408" s="26">
        <v>1398188.1572114399</v>
      </c>
      <c r="AE408" s="26">
        <v>0</v>
      </c>
      <c r="AF408" s="26"/>
      <c r="AG408" s="26">
        <v>192437.14870883999</v>
      </c>
      <c r="AH408" s="26">
        <v>0</v>
      </c>
      <c r="AI408" s="26">
        <v>10966540.7948166</v>
      </c>
      <c r="AJ408" s="26">
        <v>0</v>
      </c>
      <c r="AK408" s="26">
        <v>0</v>
      </c>
      <c r="AL408" s="26">
        <v>0</v>
      </c>
      <c r="AM408" s="26">
        <v>2364122.6418000003</v>
      </c>
      <c r="AN408" s="31">
        <v>258777.15079999997</v>
      </c>
      <c r="AO408" s="32">
        <v>497653.04715035995</v>
      </c>
      <c r="AP408" s="77">
        <f>+N408-'Приложение №2'!E408</f>
        <v>0</v>
      </c>
      <c r="AQ408" s="1">
        <v>960970.65</v>
      </c>
      <c r="AR408" s="1">
        <f t="shared" si="150"/>
        <v>212343.6</v>
      </c>
      <c r="AS408" s="1">
        <f t="shared" si="151"/>
        <v>7494480</v>
      </c>
      <c r="AT408" s="28">
        <f t="shared" si="124"/>
        <v>0</v>
      </c>
      <c r="AU408" s="28">
        <f>+P408-'[6]Приложение №1'!$P387</f>
        <v>0</v>
      </c>
      <c r="AV408" s="28">
        <f>+Q408-'[6]Приложение №1'!$Q387</f>
        <v>0</v>
      </c>
      <c r="AW408" s="28">
        <f>+R408-'[6]Приложение №1'!$R387</f>
        <v>0</v>
      </c>
      <c r="AX408" s="28">
        <f>+S408-'[6]Приложение №1'!$S387</f>
        <v>0</v>
      </c>
      <c r="AY408" s="28">
        <f>+T408-'[6]Приложение №1'!$T387</f>
        <v>0</v>
      </c>
    </row>
    <row r="409" spans="1:51" x14ac:dyDescent="0.25">
      <c r="A409" s="137">
        <f t="shared" si="146"/>
        <v>391</v>
      </c>
      <c r="B409" s="138">
        <f t="shared" si="146"/>
        <v>203</v>
      </c>
      <c r="C409" s="120" t="s">
        <v>46</v>
      </c>
      <c r="D409" s="120" t="s">
        <v>183</v>
      </c>
      <c r="E409" s="121">
        <v>1971</v>
      </c>
      <c r="F409" s="121">
        <v>2015</v>
      </c>
      <c r="G409" s="121" t="s">
        <v>43</v>
      </c>
      <c r="H409" s="121">
        <v>4</v>
      </c>
      <c r="I409" s="121">
        <v>1</v>
      </c>
      <c r="J409" s="107">
        <v>2344</v>
      </c>
      <c r="K409" s="107">
        <v>1634.9</v>
      </c>
      <c r="L409" s="107">
        <v>427.9</v>
      </c>
      <c r="M409" s="122">
        <v>68</v>
      </c>
      <c r="N409" s="133">
        <f t="shared" si="148"/>
        <v>2465306.1624440001</v>
      </c>
      <c r="O409" s="107"/>
      <c r="P409" s="108"/>
      <c r="Q409" s="108"/>
      <c r="R409" s="108">
        <f t="shared" si="147"/>
        <v>1469363.46</v>
      </c>
      <c r="S409" s="108">
        <f>+'Приложение №2'!E409-'Приложение №1'!R409</f>
        <v>995942.70244400017</v>
      </c>
      <c r="T409" s="108">
        <v>0</v>
      </c>
      <c r="U409" s="107">
        <f t="shared" si="149"/>
        <v>1195.126121021912</v>
      </c>
      <c r="V409" s="107">
        <f t="shared" si="149"/>
        <v>1195.126121021912</v>
      </c>
      <c r="W409" s="135">
        <v>2023</v>
      </c>
      <c r="X409" s="28" t="e">
        <f>+#REF!-'[1]Приложение №1'!$P1607</f>
        <v>#REF!</v>
      </c>
      <c r="Z409" s="30">
        <f t="shared" si="145"/>
        <v>25262253.210000001</v>
      </c>
      <c r="AA409" s="26">
        <v>5690527.9739763001</v>
      </c>
      <c r="AB409" s="26">
        <v>2086731.8051672401</v>
      </c>
      <c r="AC409" s="26">
        <v>2180145.0619355398</v>
      </c>
      <c r="AD409" s="26">
        <v>1364934.3932783997</v>
      </c>
      <c r="AE409" s="26">
        <v>0</v>
      </c>
      <c r="AF409" s="26"/>
      <c r="AG409" s="26">
        <v>187860.32184275999</v>
      </c>
      <c r="AH409" s="26">
        <v>0</v>
      </c>
      <c r="AI409" s="26">
        <v>10705718.389564799</v>
      </c>
      <c r="AJ409" s="26">
        <v>0</v>
      </c>
      <c r="AK409" s="26">
        <v>0</v>
      </c>
      <c r="AL409" s="26">
        <v>0</v>
      </c>
      <c r="AM409" s="26">
        <v>2307895.6014999999</v>
      </c>
      <c r="AN409" s="31">
        <v>252622.53210000001</v>
      </c>
      <c r="AO409" s="32">
        <v>485817.13063496002</v>
      </c>
      <c r="AP409" s="77">
        <f>+N409-'Приложение №2'!E409</f>
        <v>0</v>
      </c>
      <c r="AQ409" s="1">
        <v>1215312.06</v>
      </c>
      <c r="AR409" s="1">
        <f t="shared" si="150"/>
        <v>254051.4</v>
      </c>
      <c r="AS409" s="1">
        <f t="shared" si="151"/>
        <v>8966520</v>
      </c>
      <c r="AT409" s="28">
        <f t="shared" ref="AT409:AT472" si="152">+S409-AS409</f>
        <v>-7970577.2975559998</v>
      </c>
      <c r="AU409" s="28">
        <f>+P409-'[6]Приложение №1'!$P388</f>
        <v>0</v>
      </c>
      <c r="AV409" s="28">
        <f>+Q409-'[6]Приложение №1'!$Q388</f>
        <v>-718272</v>
      </c>
      <c r="AW409" s="28">
        <f>+R409-'[6]Приложение №1'!$R388</f>
        <v>0</v>
      </c>
      <c r="AX409" s="28">
        <f>+S409-'[6]Приложение №1'!$S388</f>
        <v>0</v>
      </c>
      <c r="AY409" s="28">
        <f>+T409-'[6]Приложение №1'!$T388</f>
        <v>0</v>
      </c>
    </row>
    <row r="410" spans="1:51" x14ac:dyDescent="0.25">
      <c r="A410" s="137">
        <f t="shared" ref="A410:B425" si="153">+A409+1</f>
        <v>392</v>
      </c>
      <c r="B410" s="138">
        <f t="shared" si="153"/>
        <v>204</v>
      </c>
      <c r="C410" s="120" t="s">
        <v>46</v>
      </c>
      <c r="D410" s="120" t="s">
        <v>184</v>
      </c>
      <c r="E410" s="121">
        <v>1970</v>
      </c>
      <c r="F410" s="121">
        <v>2015</v>
      </c>
      <c r="G410" s="121" t="s">
        <v>43</v>
      </c>
      <c r="H410" s="121">
        <v>4</v>
      </c>
      <c r="I410" s="121">
        <v>2</v>
      </c>
      <c r="J410" s="107">
        <v>1403.6</v>
      </c>
      <c r="K410" s="107">
        <v>1288.25</v>
      </c>
      <c r="L410" s="107">
        <v>0</v>
      </c>
      <c r="M410" s="122">
        <v>53</v>
      </c>
      <c r="N410" s="133">
        <f t="shared" si="148"/>
        <v>1582950.1937679998</v>
      </c>
      <c r="O410" s="107"/>
      <c r="P410" s="108"/>
      <c r="Q410" s="108"/>
      <c r="R410" s="108">
        <f t="shared" si="147"/>
        <v>680832.86</v>
      </c>
      <c r="S410" s="108">
        <f>+'Приложение №2'!E410-'Приложение №1'!R410</f>
        <v>902117.33376799978</v>
      </c>
      <c r="T410" s="108">
        <v>0</v>
      </c>
      <c r="U410" s="107">
        <f t="shared" si="149"/>
        <v>1228.7600960745194</v>
      </c>
      <c r="V410" s="107">
        <f t="shared" si="149"/>
        <v>1228.7600960745194</v>
      </c>
      <c r="W410" s="135">
        <v>2023</v>
      </c>
      <c r="X410" s="28" t="e">
        <f>+#REF!-'[1]Приложение №1'!$P1611</f>
        <v>#REF!</v>
      </c>
      <c r="Z410" s="30">
        <f t="shared" si="145"/>
        <v>16293169.239999998</v>
      </c>
      <c r="AA410" s="26">
        <v>3670168.8759317403</v>
      </c>
      <c r="AB410" s="26">
        <v>1345860.7249735198</v>
      </c>
      <c r="AC410" s="26">
        <v>1406108.636961</v>
      </c>
      <c r="AD410" s="26">
        <v>880329.51331247995</v>
      </c>
      <c r="AE410" s="26">
        <v>0</v>
      </c>
      <c r="AF410" s="26"/>
      <c r="AG410" s="26">
        <v>121162.59054059999</v>
      </c>
      <c r="AH410" s="26">
        <v>0</v>
      </c>
      <c r="AI410" s="26">
        <v>6904771.3217195999</v>
      </c>
      <c r="AJ410" s="26">
        <v>0</v>
      </c>
      <c r="AK410" s="26">
        <v>0</v>
      </c>
      <c r="AL410" s="26">
        <v>0</v>
      </c>
      <c r="AM410" s="26">
        <v>1488502.7597000001</v>
      </c>
      <c r="AN410" s="31">
        <v>162931.6924</v>
      </c>
      <c r="AO410" s="32">
        <v>313333.12446105998</v>
      </c>
      <c r="AP410" s="77">
        <f>+N410-'Приложение №2'!E410</f>
        <v>0</v>
      </c>
      <c r="AQ410" s="1">
        <v>549431.36</v>
      </c>
      <c r="AR410" s="1">
        <f t="shared" si="150"/>
        <v>131401.5</v>
      </c>
      <c r="AS410" s="1">
        <f t="shared" si="151"/>
        <v>4637700</v>
      </c>
      <c r="AT410" s="28">
        <f t="shared" si="152"/>
        <v>-3735582.6662320001</v>
      </c>
      <c r="AU410" s="28">
        <f>+P410-'[6]Приложение №1'!$P389</f>
        <v>-985967.48999999906</v>
      </c>
      <c r="AV410" s="28">
        <f>+Q410-'[6]Приложение №1'!$Q389</f>
        <v>0</v>
      </c>
      <c r="AW410" s="28">
        <f>+R410-'[6]Приложение №1'!$R389</f>
        <v>0</v>
      </c>
      <c r="AX410" s="28">
        <f>+S410-'[6]Приложение №1'!$S389</f>
        <v>0</v>
      </c>
      <c r="AY410" s="28">
        <f>+T410-'[6]Приложение №1'!$T389</f>
        <v>0</v>
      </c>
    </row>
    <row r="411" spans="1:51" x14ac:dyDescent="0.25">
      <c r="A411" s="137">
        <f t="shared" si="153"/>
        <v>393</v>
      </c>
      <c r="B411" s="138">
        <f t="shared" si="153"/>
        <v>205</v>
      </c>
      <c r="C411" s="120" t="s">
        <v>46</v>
      </c>
      <c r="D411" s="120" t="s">
        <v>185</v>
      </c>
      <c r="E411" s="121">
        <v>1970</v>
      </c>
      <c r="F411" s="121">
        <v>2015</v>
      </c>
      <c r="G411" s="121" t="s">
        <v>43</v>
      </c>
      <c r="H411" s="121">
        <v>4</v>
      </c>
      <c r="I411" s="121">
        <v>2</v>
      </c>
      <c r="J411" s="107">
        <v>1397.9</v>
      </c>
      <c r="K411" s="107">
        <v>1284</v>
      </c>
      <c r="L411" s="107">
        <v>0</v>
      </c>
      <c r="M411" s="122">
        <v>70</v>
      </c>
      <c r="N411" s="133">
        <f t="shared" si="148"/>
        <v>8465154.9948999994</v>
      </c>
      <c r="O411" s="107"/>
      <c r="P411" s="108"/>
      <c r="Q411" s="108"/>
      <c r="R411" s="108">
        <f t="shared" si="147"/>
        <v>665157.30000000005</v>
      </c>
      <c r="S411" s="108">
        <f>+AS411</f>
        <v>4622400</v>
      </c>
      <c r="T411" s="108">
        <f>+'Приложение №2'!E411-'Приложение №1'!P411-'Приложение №1'!Q411-'Приложение №1'!R411-'Приложение №1'!S411</f>
        <v>3177597.6948999995</v>
      </c>
      <c r="U411" s="107">
        <f t="shared" si="149"/>
        <v>6592.7998402647972</v>
      </c>
      <c r="V411" s="107">
        <f t="shared" si="149"/>
        <v>6592.7998402647972</v>
      </c>
      <c r="W411" s="135">
        <v>2023</v>
      </c>
      <c r="X411" s="28" t="e">
        <f>+#REF!-'[1]Приложение №1'!$P1612</f>
        <v>#REF!</v>
      </c>
      <c r="Z411" s="30">
        <f t="shared" si="145"/>
        <v>16240473.409999998</v>
      </c>
      <c r="AA411" s="26">
        <v>3658298.7075726003</v>
      </c>
      <c r="AB411" s="26">
        <v>1341507.9059104801</v>
      </c>
      <c r="AC411" s="26">
        <v>1401560.9593595399</v>
      </c>
      <c r="AD411" s="26">
        <v>877482.32671679999</v>
      </c>
      <c r="AE411" s="26">
        <v>0</v>
      </c>
      <c r="AF411" s="26"/>
      <c r="AG411" s="26">
        <v>120770.72210951999</v>
      </c>
      <c r="AH411" s="26">
        <v>0</v>
      </c>
      <c r="AI411" s="26">
        <v>6882439.7186495997</v>
      </c>
      <c r="AJ411" s="26">
        <v>0</v>
      </c>
      <c r="AK411" s="26">
        <v>0</v>
      </c>
      <c r="AL411" s="26">
        <v>0</v>
      </c>
      <c r="AM411" s="26">
        <v>1483688.602</v>
      </c>
      <c r="AN411" s="31">
        <v>162404.7341</v>
      </c>
      <c r="AO411" s="32">
        <v>312319.73358146002</v>
      </c>
      <c r="AP411" s="77">
        <f>+N411-'Приложение №2'!E411</f>
        <v>0</v>
      </c>
      <c r="AQ411" s="1">
        <v>534189.30000000005</v>
      </c>
      <c r="AR411" s="1">
        <f t="shared" si="150"/>
        <v>130968</v>
      </c>
      <c r="AS411" s="1">
        <f t="shared" si="151"/>
        <v>4622400</v>
      </c>
      <c r="AT411" s="28">
        <f t="shared" si="152"/>
        <v>0</v>
      </c>
      <c r="AU411" s="28">
        <f>+P411-'[6]Приложение №1'!$P390</f>
        <v>-1384853.583333333</v>
      </c>
      <c r="AV411" s="28">
        <f>+Q411-'[6]Приложение №1'!$Q390</f>
        <v>0</v>
      </c>
      <c r="AW411" s="28">
        <f>+R411-'[6]Приложение №1'!$R390</f>
        <v>0</v>
      </c>
      <c r="AX411" s="28">
        <f>+S411-'[6]Приложение №1'!$S390</f>
        <v>0</v>
      </c>
      <c r="AY411" s="28">
        <f>+T411-'[6]Приложение №1'!$T390</f>
        <v>1384853.583333333</v>
      </c>
    </row>
    <row r="412" spans="1:51" x14ac:dyDescent="0.25">
      <c r="A412" s="137">
        <f t="shared" si="153"/>
        <v>394</v>
      </c>
      <c r="B412" s="138">
        <f t="shared" si="153"/>
        <v>206</v>
      </c>
      <c r="C412" s="120" t="s">
        <v>46</v>
      </c>
      <c r="D412" s="120" t="s">
        <v>186</v>
      </c>
      <c r="E412" s="121">
        <v>1970</v>
      </c>
      <c r="F412" s="121">
        <v>2015</v>
      </c>
      <c r="G412" s="121" t="s">
        <v>43</v>
      </c>
      <c r="H412" s="121">
        <v>4</v>
      </c>
      <c r="I412" s="121">
        <v>2</v>
      </c>
      <c r="J412" s="107">
        <v>1401</v>
      </c>
      <c r="K412" s="107">
        <v>1279.2</v>
      </c>
      <c r="L412" s="107">
        <v>0</v>
      </c>
      <c r="M412" s="122">
        <v>66</v>
      </c>
      <c r="N412" s="133">
        <f t="shared" si="148"/>
        <v>8463831.2803000007</v>
      </c>
      <c r="O412" s="107"/>
      <c r="P412" s="108"/>
      <c r="Q412" s="108"/>
      <c r="R412" s="108">
        <f t="shared" si="147"/>
        <v>752711.21000000008</v>
      </c>
      <c r="S412" s="108">
        <f>+AS412</f>
        <v>4605120</v>
      </c>
      <c r="T412" s="108">
        <f>+'Приложение №2'!E412-'Приложение №1'!P412-'Приложение №1'!Q412-'Приложение №1'!R412-'Приложение №1'!S412</f>
        <v>3106000.0703000007</v>
      </c>
      <c r="U412" s="107">
        <f t="shared" si="149"/>
        <v>6616.5035024233903</v>
      </c>
      <c r="V412" s="107">
        <f t="shared" si="149"/>
        <v>6616.5035024233903</v>
      </c>
      <c r="W412" s="135">
        <v>2023</v>
      </c>
      <c r="X412" s="28" t="e">
        <f>+#REF!-'[1]Приложение №1'!$P1613</f>
        <v>#REF!</v>
      </c>
      <c r="Z412" s="30">
        <f t="shared" si="145"/>
        <v>16237933.850000001</v>
      </c>
      <c r="AA412" s="26">
        <v>3657726.6514807204</v>
      </c>
      <c r="AB412" s="26">
        <v>1341298.1279300398</v>
      </c>
      <c r="AC412" s="26">
        <v>1401341.7924949802</v>
      </c>
      <c r="AD412" s="26">
        <v>877345.11290495994</v>
      </c>
      <c r="AE412" s="26">
        <v>0</v>
      </c>
      <c r="AF412" s="26"/>
      <c r="AG412" s="26">
        <v>120751.8388482</v>
      </c>
      <c r="AH412" s="26">
        <v>0</v>
      </c>
      <c r="AI412" s="26">
        <v>6881363.4984066002</v>
      </c>
      <c r="AJ412" s="26">
        <v>0</v>
      </c>
      <c r="AK412" s="26">
        <v>0</v>
      </c>
      <c r="AL412" s="26">
        <v>0</v>
      </c>
      <c r="AM412" s="26">
        <v>1483456.594</v>
      </c>
      <c r="AN412" s="31">
        <v>162379.33850000001</v>
      </c>
      <c r="AO412" s="32">
        <v>312270.89543449995</v>
      </c>
      <c r="AP412" s="77">
        <f>+N412-'Приложение №2'!E412</f>
        <v>0</v>
      </c>
      <c r="AQ412" s="1">
        <v>622232.81000000006</v>
      </c>
      <c r="AR412" s="1">
        <f t="shared" si="150"/>
        <v>130478.39999999999</v>
      </c>
      <c r="AS412" s="1">
        <f t="shared" si="151"/>
        <v>4605120</v>
      </c>
      <c r="AT412" s="28">
        <f t="shared" si="152"/>
        <v>0</v>
      </c>
      <c r="AU412" s="28">
        <f>+P412-'[6]Приложение №1'!$P391</f>
        <v>-1355261.3500000003</v>
      </c>
      <c r="AV412" s="28">
        <f>+Q412-'[6]Приложение №1'!$Q391</f>
        <v>0</v>
      </c>
      <c r="AW412" s="28">
        <f>+R412-'[6]Приложение №1'!$R391</f>
        <v>0</v>
      </c>
      <c r="AX412" s="28">
        <f>+S412-'[6]Приложение №1'!$S391</f>
        <v>0</v>
      </c>
      <c r="AY412" s="28">
        <f>+T412-'[6]Приложение №1'!$T391</f>
        <v>1355261.3500000006</v>
      </c>
    </row>
    <row r="413" spans="1:51" x14ac:dyDescent="0.25">
      <c r="A413" s="137">
        <f t="shared" si="153"/>
        <v>395</v>
      </c>
      <c r="B413" s="138">
        <f t="shared" si="153"/>
        <v>207</v>
      </c>
      <c r="C413" s="120" t="s">
        <v>46</v>
      </c>
      <c r="D413" s="120" t="s">
        <v>189</v>
      </c>
      <c r="E413" s="121">
        <v>1969</v>
      </c>
      <c r="F413" s="121">
        <v>2013</v>
      </c>
      <c r="G413" s="121" t="s">
        <v>43</v>
      </c>
      <c r="H413" s="121">
        <v>4</v>
      </c>
      <c r="I413" s="121">
        <v>2</v>
      </c>
      <c r="J413" s="107">
        <v>1404.7</v>
      </c>
      <c r="K413" s="107">
        <v>951</v>
      </c>
      <c r="L413" s="107">
        <v>348.8</v>
      </c>
      <c r="M413" s="122">
        <v>39</v>
      </c>
      <c r="N413" s="133">
        <f t="shared" si="148"/>
        <v>1600414.445874</v>
      </c>
      <c r="O413" s="107"/>
      <c r="P413" s="108"/>
      <c r="Q413" s="108"/>
      <c r="R413" s="108">
        <f t="shared" si="147"/>
        <v>578844.92999999993</v>
      </c>
      <c r="S413" s="108">
        <f>+'Приложение №2'!E413-'Приложение №1'!R413</f>
        <v>1021569.515874</v>
      </c>
      <c r="T413" s="108">
        <v>0</v>
      </c>
      <c r="U413" s="107">
        <f t="shared" si="149"/>
        <v>1231.2774625896293</v>
      </c>
      <c r="V413" s="107">
        <f t="shared" si="149"/>
        <v>1231.2774625896293</v>
      </c>
      <c r="W413" s="135">
        <v>2023</v>
      </c>
      <c r="X413" s="28" t="e">
        <f>+#REF!-'[1]Приложение №1'!$P1614</f>
        <v>#REF!</v>
      </c>
      <c r="Z413" s="30">
        <f t="shared" si="145"/>
        <v>16476652.310000001</v>
      </c>
      <c r="AA413" s="26">
        <v>3711499.9241174399</v>
      </c>
      <c r="AB413" s="26">
        <v>1361016.9358384202</v>
      </c>
      <c r="AC413" s="26">
        <v>1421943.3122823602</v>
      </c>
      <c r="AD413" s="26">
        <v>890243.21121792006</v>
      </c>
      <c r="AE413" s="26">
        <v>0</v>
      </c>
      <c r="AF413" s="26"/>
      <c r="AG413" s="26">
        <v>122527.0476276</v>
      </c>
      <c r="AH413" s="26">
        <v>0</v>
      </c>
      <c r="AI413" s="26">
        <v>6982528.3685892001</v>
      </c>
      <c r="AJ413" s="26">
        <v>0</v>
      </c>
      <c r="AK413" s="26">
        <v>0</v>
      </c>
      <c r="AL413" s="26">
        <v>0</v>
      </c>
      <c r="AM413" s="26">
        <v>1505265.3089999999</v>
      </c>
      <c r="AN413" s="31">
        <v>164766.52309999999</v>
      </c>
      <c r="AO413" s="32">
        <v>316861.67822706001</v>
      </c>
      <c r="AP413" s="77">
        <f>+N413-'Приложение №2'!E413</f>
        <v>0</v>
      </c>
      <c r="AQ413" s="1">
        <v>410687.73</v>
      </c>
      <c r="AR413" s="1">
        <f t="shared" si="150"/>
        <v>168157.19999999998</v>
      </c>
      <c r="AS413" s="1">
        <f t="shared" si="151"/>
        <v>5934960</v>
      </c>
      <c r="AT413" s="28">
        <f t="shared" si="152"/>
        <v>-4913390.4841259997</v>
      </c>
      <c r="AU413" s="28">
        <f>+P413-'[6]Приложение №1'!$P392</f>
        <v>0</v>
      </c>
      <c r="AV413" s="28">
        <f>+Q413-'[6]Приложение №1'!$Q392</f>
        <v>0</v>
      </c>
      <c r="AW413" s="28">
        <f>+R413-'[6]Приложение №1'!$R392</f>
        <v>0</v>
      </c>
      <c r="AX413" s="28">
        <f>+S413-'[6]Приложение №1'!$S392</f>
        <v>0</v>
      </c>
      <c r="AY413" s="28">
        <f>+T413-'[6]Приложение №1'!$T392</f>
        <v>0</v>
      </c>
    </row>
    <row r="414" spans="1:51" x14ac:dyDescent="0.25">
      <c r="A414" s="137">
        <f t="shared" si="153"/>
        <v>396</v>
      </c>
      <c r="B414" s="138">
        <f t="shared" si="153"/>
        <v>208</v>
      </c>
      <c r="C414" s="120" t="s">
        <v>46</v>
      </c>
      <c r="D414" s="120" t="s">
        <v>190</v>
      </c>
      <c r="E414" s="121">
        <v>1969</v>
      </c>
      <c r="F414" s="121">
        <v>2015</v>
      </c>
      <c r="G414" s="121" t="s">
        <v>43</v>
      </c>
      <c r="H414" s="121">
        <v>4</v>
      </c>
      <c r="I414" s="121">
        <v>2</v>
      </c>
      <c r="J414" s="107">
        <v>1374</v>
      </c>
      <c r="K414" s="107">
        <v>1181.29</v>
      </c>
      <c r="L414" s="107">
        <v>71.900000000000006</v>
      </c>
      <c r="M414" s="122">
        <v>60</v>
      </c>
      <c r="N414" s="133">
        <f t="shared" si="148"/>
        <v>9106068.5073560029</v>
      </c>
      <c r="O414" s="107"/>
      <c r="P414" s="108"/>
      <c r="Q414" s="108"/>
      <c r="R414" s="108">
        <f t="shared" si="147"/>
        <v>654136.55000000005</v>
      </c>
      <c r="S414" s="108">
        <f>+AS414</f>
        <v>4770324</v>
      </c>
      <c r="T414" s="108">
        <f>+'Приложение №2'!E414-'Приложение №1'!P414-'Приложение №1'!Q414-'Приложение №1'!R414-'Приложение №1'!S414</f>
        <v>3681607.9573560022</v>
      </c>
      <c r="U414" s="107">
        <f t="shared" si="149"/>
        <v>7266.3111797540696</v>
      </c>
      <c r="V414" s="107">
        <f t="shared" si="149"/>
        <v>7266.3111797540696</v>
      </c>
      <c r="W414" s="135">
        <v>2023</v>
      </c>
      <c r="X414" s="28" t="e">
        <f>+#REF!-'[1]Приложение №1'!$P1615</f>
        <v>#REF!</v>
      </c>
      <c r="Z414" s="30">
        <f t="shared" si="145"/>
        <v>15905124.779999999</v>
      </c>
      <c r="AA414" s="26">
        <v>3582758.6997493198</v>
      </c>
      <c r="AB414" s="26">
        <v>1313807.1878118601</v>
      </c>
      <c r="AC414" s="26">
        <v>1372620.2030843401</v>
      </c>
      <c r="AD414" s="26">
        <v>859363.24454651994</v>
      </c>
      <c r="AE414" s="26">
        <v>0</v>
      </c>
      <c r="AF414" s="26"/>
      <c r="AG414" s="26">
        <v>118276.93283028001</v>
      </c>
      <c r="AH414" s="26">
        <v>0</v>
      </c>
      <c r="AI414" s="26">
        <v>6740324.6043672003</v>
      </c>
      <c r="AJ414" s="26">
        <v>0</v>
      </c>
      <c r="AK414" s="26">
        <v>0</v>
      </c>
      <c r="AL414" s="26">
        <v>0</v>
      </c>
      <c r="AM414" s="26">
        <v>1453051.9989999998</v>
      </c>
      <c r="AN414" s="31">
        <v>159051.24780000001</v>
      </c>
      <c r="AO414" s="32">
        <v>305870.66081048007</v>
      </c>
      <c r="AP414" s="77">
        <f>+N414-'Приложение №2'!E414</f>
        <v>0</v>
      </c>
      <c r="AQ414" s="1">
        <v>518977.37</v>
      </c>
      <c r="AR414" s="1">
        <f t="shared" si="150"/>
        <v>135159.18</v>
      </c>
      <c r="AS414" s="1">
        <f t="shared" si="151"/>
        <v>4770324</v>
      </c>
      <c r="AT414" s="28">
        <f t="shared" si="152"/>
        <v>0</v>
      </c>
      <c r="AU414" s="28">
        <f>+P414-'[6]Приложение №1'!$P393</f>
        <v>-1285124.3091186676</v>
      </c>
      <c r="AV414" s="28">
        <f>+Q414-'[6]Приложение №1'!$Q393</f>
        <v>0</v>
      </c>
      <c r="AW414" s="28">
        <f>+R414-'[6]Приложение №1'!$R393</f>
        <v>0</v>
      </c>
      <c r="AX414" s="28">
        <f>+S414-'[6]Приложение №1'!$S393</f>
        <v>0</v>
      </c>
      <c r="AY414" s="28">
        <f>+T414-'[6]Приложение №1'!$T393</f>
        <v>1285124.3091186667</v>
      </c>
    </row>
    <row r="415" spans="1:51" x14ac:dyDescent="0.25">
      <c r="A415" s="137">
        <f t="shared" si="153"/>
        <v>397</v>
      </c>
      <c r="B415" s="138">
        <f t="shared" si="153"/>
        <v>209</v>
      </c>
      <c r="C415" s="120" t="s">
        <v>46</v>
      </c>
      <c r="D415" s="120" t="s">
        <v>192</v>
      </c>
      <c r="E415" s="121">
        <v>1968</v>
      </c>
      <c r="F415" s="121">
        <v>2013</v>
      </c>
      <c r="G415" s="121" t="s">
        <v>43</v>
      </c>
      <c r="H415" s="121">
        <v>4</v>
      </c>
      <c r="I415" s="121">
        <v>2</v>
      </c>
      <c r="J415" s="107">
        <v>1377</v>
      </c>
      <c r="K415" s="107">
        <v>1273</v>
      </c>
      <c r="L415" s="107">
        <v>0</v>
      </c>
      <c r="M415" s="122">
        <v>50</v>
      </c>
      <c r="N415" s="133">
        <f t="shared" si="148"/>
        <v>9257725.9846659992</v>
      </c>
      <c r="O415" s="107"/>
      <c r="P415" s="108">
        <f>1377978.378222-429340.76</f>
        <v>948637.61822200008</v>
      </c>
      <c r="Q415" s="108"/>
      <c r="R415" s="108">
        <f t="shared" si="147"/>
        <v>714599.55</v>
      </c>
      <c r="S415" s="108">
        <f>+AS415</f>
        <v>4582800</v>
      </c>
      <c r="T415" s="108">
        <f>+'Приложение №2'!E415-'Приложение №1'!P415-'Приложение №1'!Q415-'Приложение №1'!R415-'Приложение №1'!S415</f>
        <v>3011688.8164439993</v>
      </c>
      <c r="U415" s="107">
        <f t="shared" si="149"/>
        <v>7272.3691945530236</v>
      </c>
      <c r="V415" s="107">
        <f t="shared" si="149"/>
        <v>7272.3691945530236</v>
      </c>
      <c r="W415" s="135">
        <v>2023</v>
      </c>
      <c r="X415" s="28" t="e">
        <f>+#REF!-'[1]Приложение №1'!$P1616</f>
        <v>#REF!</v>
      </c>
      <c r="Z415" s="30">
        <f t="shared" si="145"/>
        <v>16166826.229999997</v>
      </c>
      <c r="AA415" s="26">
        <v>3641709.0809080796</v>
      </c>
      <c r="AB415" s="26">
        <v>1335424.4489922002</v>
      </c>
      <c r="AC415" s="26">
        <v>1395205.1725445401</v>
      </c>
      <c r="AD415" s="26">
        <v>873503.12617344002</v>
      </c>
      <c r="AE415" s="26">
        <v>0</v>
      </c>
      <c r="AF415" s="26"/>
      <c r="AG415" s="26">
        <v>120223.04998956002</v>
      </c>
      <c r="AH415" s="26">
        <v>0</v>
      </c>
      <c r="AI415" s="26">
        <v>6851229.2787581999</v>
      </c>
      <c r="AJ415" s="26">
        <v>0</v>
      </c>
      <c r="AK415" s="26">
        <v>0</v>
      </c>
      <c r="AL415" s="26">
        <v>0</v>
      </c>
      <c r="AM415" s="26">
        <v>1476960.3820000002</v>
      </c>
      <c r="AN415" s="31">
        <v>161668.2623</v>
      </c>
      <c r="AO415" s="32">
        <v>310903.42833397997</v>
      </c>
      <c r="AP415" s="77">
        <f>+N415-'Приложение №2'!E415</f>
        <v>0</v>
      </c>
      <c r="AQ415" s="1">
        <v>584753.55000000005</v>
      </c>
      <c r="AR415" s="1">
        <f t="shared" si="150"/>
        <v>129846</v>
      </c>
      <c r="AS415" s="1">
        <f t="shared" si="151"/>
        <v>4582800</v>
      </c>
      <c r="AT415" s="28">
        <f t="shared" si="152"/>
        <v>0</v>
      </c>
      <c r="AU415" s="28">
        <f>+P415-'[6]Приложение №1'!$P394</f>
        <v>-429340.75999999954</v>
      </c>
      <c r="AV415" s="28">
        <f>+Q415-'[6]Приложение №1'!$Q394</f>
        <v>0</v>
      </c>
      <c r="AW415" s="28">
        <f>+R415-'[6]Приложение №1'!$R394</f>
        <v>0</v>
      </c>
      <c r="AX415" s="28">
        <f>+S415-'[6]Приложение №1'!$S394</f>
        <v>0</v>
      </c>
      <c r="AY415" s="28">
        <f>+T415-'[6]Приложение №1'!$T394</f>
        <v>429340.75999999978</v>
      </c>
    </row>
    <row r="416" spans="1:51" x14ac:dyDescent="0.25">
      <c r="A416" s="137">
        <f t="shared" si="153"/>
        <v>398</v>
      </c>
      <c r="B416" s="138">
        <f t="shared" si="153"/>
        <v>210</v>
      </c>
      <c r="C416" s="120" t="s">
        <v>46</v>
      </c>
      <c r="D416" s="120" t="s">
        <v>642</v>
      </c>
      <c r="E416" s="121">
        <v>1971</v>
      </c>
      <c r="F416" s="121">
        <v>2017</v>
      </c>
      <c r="G416" s="121" t="s">
        <v>83</v>
      </c>
      <c r="H416" s="121">
        <v>4</v>
      </c>
      <c r="I416" s="121">
        <v>3</v>
      </c>
      <c r="J416" s="107">
        <v>2241.3000000000002</v>
      </c>
      <c r="K416" s="107">
        <v>1923.5</v>
      </c>
      <c r="L416" s="107">
        <v>103.1</v>
      </c>
      <c r="M416" s="122">
        <v>95</v>
      </c>
      <c r="N416" s="133">
        <f t="shared" si="148"/>
        <v>3110187.22</v>
      </c>
      <c r="O416" s="107"/>
      <c r="P416" s="108"/>
      <c r="Q416" s="108"/>
      <c r="R416" s="108">
        <f t="shared" si="147"/>
        <v>1168598.31</v>
      </c>
      <c r="S416" s="108">
        <f>+'Приложение №2'!E416-'Приложение №1'!R416</f>
        <v>1941588.9100000001</v>
      </c>
      <c r="T416" s="108">
        <v>0</v>
      </c>
      <c r="U416" s="107">
        <f t="shared" si="149"/>
        <v>1534.6823349452286</v>
      </c>
      <c r="V416" s="107">
        <f t="shared" si="149"/>
        <v>1534.6823349452286</v>
      </c>
      <c r="W416" s="135">
        <v>2023</v>
      </c>
      <c r="X416" s="28" t="e">
        <f>+#REF!-'[1]Приложение №1'!$P1617</f>
        <v>#REF!</v>
      </c>
      <c r="Z416" s="30">
        <f t="shared" si="145"/>
        <v>3150457</v>
      </c>
      <c r="AA416" s="26">
        <v>0</v>
      </c>
      <c r="AB416" s="26">
        <v>0</v>
      </c>
      <c r="AC416" s="26">
        <v>2743903.125978</v>
      </c>
      <c r="AD416" s="26">
        <v>0</v>
      </c>
      <c r="AE416" s="26">
        <v>0</v>
      </c>
      <c r="AF416" s="26"/>
      <c r="AG416" s="26">
        <v>0</v>
      </c>
      <c r="AH416" s="26">
        <v>0</v>
      </c>
      <c r="AI416" s="26">
        <v>0</v>
      </c>
      <c r="AJ416" s="26">
        <v>0</v>
      </c>
      <c r="AK416" s="26">
        <v>0</v>
      </c>
      <c r="AL416" s="26">
        <v>0</v>
      </c>
      <c r="AM416" s="26">
        <v>315045.7</v>
      </c>
      <c r="AN416" s="31">
        <v>31504.57</v>
      </c>
      <c r="AO416" s="32">
        <v>60003.604022000007</v>
      </c>
      <c r="AP416" s="77">
        <f>+N416-'Приложение №2'!E416</f>
        <v>0</v>
      </c>
      <c r="AQ416" s="1">
        <v>951368.91</v>
      </c>
      <c r="AR416" s="1">
        <f t="shared" si="150"/>
        <v>217229.4</v>
      </c>
      <c r="AS416" s="1">
        <f t="shared" si="151"/>
        <v>7666920</v>
      </c>
      <c r="AT416" s="28">
        <f t="shared" si="152"/>
        <v>-5725331.0899999999</v>
      </c>
      <c r="AU416" s="28">
        <f>+P416-'[6]Приложение №1'!$P395</f>
        <v>-1633456.4588733336</v>
      </c>
      <c r="AV416" s="28">
        <f>+Q416-'[6]Приложение №1'!$Q395</f>
        <v>0</v>
      </c>
      <c r="AW416" s="28">
        <f>+R416-'[6]Приложение №1'!$R395</f>
        <v>0</v>
      </c>
      <c r="AX416" s="28">
        <f>+S416-'[6]Приложение №1'!$S395</f>
        <v>0</v>
      </c>
      <c r="AY416" s="28">
        <f>+T416-'[6]Приложение №1'!$T395</f>
        <v>0</v>
      </c>
    </row>
    <row r="417" spans="1:51" x14ac:dyDescent="0.25">
      <c r="A417" s="137">
        <f t="shared" si="153"/>
        <v>399</v>
      </c>
      <c r="B417" s="138">
        <f t="shared" si="153"/>
        <v>211</v>
      </c>
      <c r="C417" s="120" t="s">
        <v>46</v>
      </c>
      <c r="D417" s="120" t="s">
        <v>643</v>
      </c>
      <c r="E417" s="121">
        <v>1971</v>
      </c>
      <c r="F417" s="121">
        <v>2015</v>
      </c>
      <c r="G417" s="121" t="s">
        <v>43</v>
      </c>
      <c r="H417" s="121">
        <v>4</v>
      </c>
      <c r="I417" s="121">
        <v>3</v>
      </c>
      <c r="J417" s="107">
        <v>2198.9</v>
      </c>
      <c r="K417" s="107">
        <v>1976.38</v>
      </c>
      <c r="L417" s="107">
        <v>127.2</v>
      </c>
      <c r="M417" s="122">
        <v>98</v>
      </c>
      <c r="N417" s="133">
        <f t="shared" si="148"/>
        <v>6443087.9000000004</v>
      </c>
      <c r="O417" s="107"/>
      <c r="P417" s="108"/>
      <c r="Q417" s="108"/>
      <c r="R417" s="108">
        <f t="shared" si="147"/>
        <v>1009148.89</v>
      </c>
      <c r="S417" s="108">
        <f>+'Приложение №2'!E417-'Приложение №1'!R417</f>
        <v>5433939.0100000007</v>
      </c>
      <c r="T417" s="108">
        <v>0</v>
      </c>
      <c r="U417" s="107">
        <f t="shared" si="149"/>
        <v>3062.9155534850115</v>
      </c>
      <c r="V417" s="107">
        <f t="shared" si="149"/>
        <v>3062.9155534850115</v>
      </c>
      <c r="W417" s="135">
        <v>2023</v>
      </c>
      <c r="X417" s="28" t="e">
        <f>+#REF!-'[1]Приложение №1'!$P1618</f>
        <v>#REF!</v>
      </c>
      <c r="Z417" s="30">
        <f t="shared" si="145"/>
        <v>6502812.7400000002</v>
      </c>
      <c r="AA417" s="26">
        <v>5790923.8181012403</v>
      </c>
      <c r="AB417" s="26">
        <v>0</v>
      </c>
      <c r="AC417" s="26">
        <v>0</v>
      </c>
      <c r="AD417" s="26">
        <v>0</v>
      </c>
      <c r="AE417" s="26">
        <v>0</v>
      </c>
      <c r="AF417" s="26"/>
      <c r="AG417" s="26">
        <v>0</v>
      </c>
      <c r="AH417" s="26">
        <v>0</v>
      </c>
      <c r="AI417" s="26">
        <v>0</v>
      </c>
      <c r="AJ417" s="26">
        <v>0</v>
      </c>
      <c r="AK417" s="26">
        <v>0</v>
      </c>
      <c r="AL417" s="26">
        <v>0</v>
      </c>
      <c r="AM417" s="26">
        <v>520225.01920000004</v>
      </c>
      <c r="AN417" s="31">
        <v>65028.127400000005</v>
      </c>
      <c r="AO417" s="32">
        <v>126635.77529876001</v>
      </c>
      <c r="AP417" s="77">
        <f>+N417-'Приложение №2'!E417</f>
        <v>0</v>
      </c>
      <c r="AQ417" s="1">
        <v>781609.33</v>
      </c>
      <c r="AR417" s="1">
        <f t="shared" si="150"/>
        <v>227539.56000000003</v>
      </c>
      <c r="AS417" s="1">
        <f t="shared" si="151"/>
        <v>8030808.0000000009</v>
      </c>
      <c r="AT417" s="28">
        <f t="shared" si="152"/>
        <v>-2596868.9900000002</v>
      </c>
      <c r="AU417" s="28">
        <f>+P417-'[6]Приложение №1'!$P396</f>
        <v>0</v>
      </c>
      <c r="AV417" s="28">
        <f>+Q417-'[6]Приложение №1'!$Q396</f>
        <v>0</v>
      </c>
      <c r="AW417" s="28">
        <f>+R417-'[6]Приложение №1'!$R396</f>
        <v>0</v>
      </c>
      <c r="AX417" s="28">
        <f>+S417-'[6]Приложение №1'!$S396</f>
        <v>0</v>
      </c>
      <c r="AY417" s="28">
        <f>+T417-'[6]Приложение №1'!$T396</f>
        <v>0</v>
      </c>
    </row>
    <row r="418" spans="1:51" x14ac:dyDescent="0.25">
      <c r="A418" s="137">
        <f t="shared" si="153"/>
        <v>400</v>
      </c>
      <c r="B418" s="138">
        <f t="shared" si="153"/>
        <v>212</v>
      </c>
      <c r="C418" s="120" t="s">
        <v>46</v>
      </c>
      <c r="D418" s="120" t="s">
        <v>644</v>
      </c>
      <c r="E418" s="121">
        <v>1988</v>
      </c>
      <c r="F418" s="121"/>
      <c r="G418" s="121" t="s">
        <v>43</v>
      </c>
      <c r="H418" s="121">
        <v>9</v>
      </c>
      <c r="I418" s="121">
        <v>1</v>
      </c>
      <c r="J418" s="107">
        <v>2265.4</v>
      </c>
      <c r="K418" s="107">
        <v>2006.2</v>
      </c>
      <c r="L418" s="107">
        <v>53.4</v>
      </c>
      <c r="M418" s="122">
        <v>74</v>
      </c>
      <c r="N418" s="133">
        <f t="shared" si="148"/>
        <v>287932.7</v>
      </c>
      <c r="O418" s="107"/>
      <c r="P418" s="108">
        <f>+'[7]Приложение №2'!E405-'[7]Приложение №1'!R405-'[7]Приложение №1'!S405</f>
        <v>0</v>
      </c>
      <c r="Q418" s="108"/>
      <c r="R418" s="108">
        <f>+'Приложение №2'!E418</f>
        <v>287932.7</v>
      </c>
      <c r="S418" s="108"/>
      <c r="T418" s="108"/>
      <c r="U418" s="107">
        <f t="shared" si="149"/>
        <v>139.80030102932611</v>
      </c>
      <c r="V418" s="107">
        <f t="shared" si="149"/>
        <v>139.80030102932611</v>
      </c>
      <c r="W418" s="135">
        <v>2023</v>
      </c>
      <c r="X418" s="28"/>
      <c r="Z418" s="30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31"/>
      <c r="AO418" s="32"/>
      <c r="AP418" s="77">
        <f>+N418-'Приложение №2'!E418</f>
        <v>0</v>
      </c>
      <c r="AQ418" s="23">
        <v>1381175.06</v>
      </c>
      <c r="AR418" s="1">
        <f t="shared" si="150"/>
        <v>215526</v>
      </c>
      <c r="AS418" s="1">
        <f>+(K418*13.29+L418*22.52)*12*30</f>
        <v>10031387.759999998</v>
      </c>
      <c r="AT418" s="28">
        <f t="shared" si="152"/>
        <v>-10031387.759999998</v>
      </c>
      <c r="AU418" s="28"/>
      <c r="AV418" s="28"/>
      <c r="AW418" s="28"/>
      <c r="AX418" s="28"/>
      <c r="AY418" s="28"/>
    </row>
    <row r="419" spans="1:51" x14ac:dyDescent="0.25">
      <c r="A419" s="137">
        <f t="shared" si="153"/>
        <v>401</v>
      </c>
      <c r="B419" s="138">
        <f t="shared" si="153"/>
        <v>213</v>
      </c>
      <c r="C419" s="120" t="s">
        <v>46</v>
      </c>
      <c r="D419" s="120" t="s">
        <v>645</v>
      </c>
      <c r="E419" s="121">
        <v>1986</v>
      </c>
      <c r="F419" s="121">
        <v>2015</v>
      </c>
      <c r="G419" s="121" t="s">
        <v>43</v>
      </c>
      <c r="H419" s="121">
        <v>9</v>
      </c>
      <c r="I419" s="121">
        <v>1</v>
      </c>
      <c r="J419" s="107">
        <v>2147.3000000000002</v>
      </c>
      <c r="K419" s="107">
        <v>1765</v>
      </c>
      <c r="L419" s="107">
        <v>118.1</v>
      </c>
      <c r="M419" s="122">
        <v>71</v>
      </c>
      <c r="N419" s="133">
        <f t="shared" si="148"/>
        <v>20025195.280000001</v>
      </c>
      <c r="O419" s="107"/>
      <c r="P419" s="108">
        <v>3358599.8842666685</v>
      </c>
      <c r="Q419" s="108"/>
      <c r="R419" s="108">
        <f>+AQ419+AR419</f>
        <v>1299043.8223999999</v>
      </c>
      <c r="S419" s="108">
        <f>+AS419</f>
        <v>9401926.3200000003</v>
      </c>
      <c r="T419" s="108">
        <f>+'Приложение №2'!E419-'Приложение №1'!P419-'Приложение №1'!Q419-'Приложение №1'!R419-'Приложение №1'!S419</f>
        <v>5965625.253333332</v>
      </c>
      <c r="U419" s="107">
        <f t="shared" si="149"/>
        <v>10634.164558440871</v>
      </c>
      <c r="V419" s="107">
        <f t="shared" si="149"/>
        <v>10634.164558440871</v>
      </c>
      <c r="W419" s="135">
        <v>2023</v>
      </c>
      <c r="X419" s="28" t="e">
        <f>+#REF!-'[1]Приложение №1'!$P1194</f>
        <v>#REF!</v>
      </c>
      <c r="Z419" s="30">
        <f t="shared" ref="Z419:Z450" si="154">SUM(AA419:AO419)</f>
        <v>20557934.949999999</v>
      </c>
      <c r="AA419" s="26">
        <v>4354337.0884977598</v>
      </c>
      <c r="AB419" s="26">
        <v>2988403.2292165803</v>
      </c>
      <c r="AC419" s="26">
        <v>1819095.0789144</v>
      </c>
      <c r="AD419" s="26">
        <v>1641252.41830956</v>
      </c>
      <c r="AE419" s="26">
        <v>0</v>
      </c>
      <c r="AF419" s="26"/>
      <c r="AG419" s="26">
        <v>209478.56798399999</v>
      </c>
      <c r="AH419" s="26">
        <v>0</v>
      </c>
      <c r="AI419" s="26">
        <v>2124154.6930043995</v>
      </c>
      <c r="AJ419" s="26">
        <v>0</v>
      </c>
      <c r="AK419" s="26">
        <v>0</v>
      </c>
      <c r="AL419" s="26">
        <v>4849580.8718931004</v>
      </c>
      <c r="AM419" s="26">
        <v>1972729.6575000002</v>
      </c>
      <c r="AN419" s="31">
        <v>205579.34950000001</v>
      </c>
      <c r="AO419" s="32">
        <v>393323.99518020003</v>
      </c>
      <c r="AP419" s="77">
        <f>+N419-'Приложение №2'!E419</f>
        <v>0</v>
      </c>
      <c r="AQ419" s="1">
        <v>1032655.91</v>
      </c>
      <c r="AR419" s="1">
        <f>+(K419*13.29+L419*22.52)*12*0.85</f>
        <v>266387.91239999997</v>
      </c>
      <c r="AS419" s="1">
        <f>+(K419*13.29+L419*22.52)*12*30</f>
        <v>9401926.3200000003</v>
      </c>
      <c r="AT419" s="28">
        <f t="shared" si="152"/>
        <v>0</v>
      </c>
      <c r="AU419" s="28">
        <f>+P419-'[6]Приложение №1'!$P397</f>
        <v>0</v>
      </c>
      <c r="AV419" s="28">
        <f>+Q419-'[6]Приложение №1'!$Q397</f>
        <v>0</v>
      </c>
      <c r="AW419" s="28">
        <f>+R419-'[6]Приложение №1'!$R397</f>
        <v>0</v>
      </c>
      <c r="AX419" s="28">
        <f>+S419-'[6]Приложение №1'!$S397</f>
        <v>0</v>
      </c>
      <c r="AY419" s="28">
        <f>+T419-'[6]Приложение №1'!$T397</f>
        <v>0</v>
      </c>
    </row>
    <row r="420" spans="1:51" x14ac:dyDescent="0.25">
      <c r="A420" s="137">
        <f t="shared" si="153"/>
        <v>402</v>
      </c>
      <c r="B420" s="138">
        <f t="shared" si="153"/>
        <v>214</v>
      </c>
      <c r="C420" s="120" t="s">
        <v>46</v>
      </c>
      <c r="D420" s="120" t="s">
        <v>646</v>
      </c>
      <c r="E420" s="121">
        <v>1985</v>
      </c>
      <c r="F420" s="121">
        <v>2015</v>
      </c>
      <c r="G420" s="121" t="s">
        <v>43</v>
      </c>
      <c r="H420" s="121">
        <v>9</v>
      </c>
      <c r="I420" s="121">
        <v>1</v>
      </c>
      <c r="J420" s="107">
        <v>2289.1999999999998</v>
      </c>
      <c r="K420" s="107">
        <v>1890</v>
      </c>
      <c r="L420" s="107">
        <v>116.7</v>
      </c>
      <c r="M420" s="122">
        <v>81</v>
      </c>
      <c r="N420" s="133">
        <f t="shared" si="148"/>
        <v>21345856.605785996</v>
      </c>
      <c r="O420" s="107"/>
      <c r="P420" s="108">
        <v>3443225.4799953331</v>
      </c>
      <c r="Q420" s="108"/>
      <c r="R420" s="108">
        <f>+AQ420+AR420</f>
        <v>1581149.0367999999</v>
      </c>
      <c r="S420" s="108">
        <f>+AS420</f>
        <v>9988626.2400000002</v>
      </c>
      <c r="T420" s="108">
        <f>+'Приложение №2'!E420-'Приложение №1'!P420-'Приложение №1'!Q420-'Приложение №1'!R420-'Приложение №1'!S420</f>
        <v>6332855.848990662</v>
      </c>
      <c r="U420" s="107">
        <f t="shared" ref="U420:V439" si="155">$N420/($K420+$L420)</f>
        <v>10637.293370103152</v>
      </c>
      <c r="V420" s="107">
        <f t="shared" si="155"/>
        <v>10637.293370103152</v>
      </c>
      <c r="W420" s="135">
        <v>2023</v>
      </c>
      <c r="X420" s="28" t="e">
        <f>+#REF!-'[1]Приложение №1'!$P1196</f>
        <v>#REF!</v>
      </c>
      <c r="Z420" s="30">
        <f t="shared" si="154"/>
        <v>21892071.77</v>
      </c>
      <c r="AA420" s="26">
        <v>4636918.0685864408</v>
      </c>
      <c r="AB420" s="26">
        <v>3182339.9673420601</v>
      </c>
      <c r="AC420" s="26">
        <v>1937147.8769193597</v>
      </c>
      <c r="AD420" s="26">
        <v>1747763.85706608</v>
      </c>
      <c r="AE420" s="26">
        <v>0</v>
      </c>
      <c r="AF420" s="26"/>
      <c r="AG420" s="26">
        <v>223072.98168960001</v>
      </c>
      <c r="AH420" s="26">
        <v>0</v>
      </c>
      <c r="AI420" s="26">
        <v>2262004.7709924001</v>
      </c>
      <c r="AJ420" s="26">
        <v>0</v>
      </c>
      <c r="AK420" s="26">
        <v>0</v>
      </c>
      <c r="AL420" s="26">
        <v>5164301.4149336405</v>
      </c>
      <c r="AM420" s="26">
        <v>2100752.7919999999</v>
      </c>
      <c r="AN420" s="31">
        <v>218920.71770000001</v>
      </c>
      <c r="AO420" s="32">
        <v>418849.32277042</v>
      </c>
      <c r="AP420" s="77">
        <f>+N420-'Приложение №2'!E420</f>
        <v>0</v>
      </c>
      <c r="AQ420" s="1">
        <v>1298137.96</v>
      </c>
      <c r="AR420" s="1">
        <f>+(K420*13.29+L420*22.52)*12*0.85</f>
        <v>283011.07679999998</v>
      </c>
      <c r="AS420" s="1">
        <f>+(K420*13.29+L420*22.52)*12*30</f>
        <v>9988626.2400000002</v>
      </c>
      <c r="AT420" s="28">
        <f t="shared" si="152"/>
        <v>0</v>
      </c>
      <c r="AU420" s="28">
        <f>+P420-'[6]Приложение №1'!$P398</f>
        <v>0</v>
      </c>
      <c r="AV420" s="28">
        <f>+Q420-'[6]Приложение №1'!$Q398</f>
        <v>0</v>
      </c>
      <c r="AW420" s="28">
        <f>+R420-'[6]Приложение №1'!$R398</f>
        <v>0</v>
      </c>
      <c r="AX420" s="28">
        <f>+S420-'[6]Приложение №1'!$S398</f>
        <v>0</v>
      </c>
      <c r="AY420" s="28">
        <f>+T420-'[6]Приложение №1'!$T398</f>
        <v>0</v>
      </c>
    </row>
    <row r="421" spans="1:51" x14ac:dyDescent="0.25">
      <c r="A421" s="137">
        <f t="shared" si="153"/>
        <v>403</v>
      </c>
      <c r="B421" s="138">
        <f t="shared" si="153"/>
        <v>215</v>
      </c>
      <c r="C421" s="120" t="s">
        <v>46</v>
      </c>
      <c r="D421" s="120" t="s">
        <v>647</v>
      </c>
      <c r="E421" s="121">
        <v>1976</v>
      </c>
      <c r="F421" s="121">
        <v>2013</v>
      </c>
      <c r="G421" s="121" t="s">
        <v>43</v>
      </c>
      <c r="H421" s="121">
        <v>4</v>
      </c>
      <c r="I421" s="121">
        <v>6</v>
      </c>
      <c r="J421" s="107">
        <v>4690.7</v>
      </c>
      <c r="K421" s="107">
        <v>4312.1000000000004</v>
      </c>
      <c r="L421" s="107">
        <v>202.5</v>
      </c>
      <c r="M421" s="122">
        <v>191</v>
      </c>
      <c r="N421" s="133">
        <f t="shared" si="148"/>
        <v>12608792.0231</v>
      </c>
      <c r="O421" s="107"/>
      <c r="P421" s="108"/>
      <c r="Q421" s="108"/>
      <c r="R421" s="108">
        <f>+AQ421+AR421</f>
        <v>2366806.17</v>
      </c>
      <c r="S421" s="108">
        <f>+'Приложение №2'!E421-'Приложение №1'!R421</f>
        <v>10241985.8531</v>
      </c>
      <c r="T421" s="108">
        <v>0</v>
      </c>
      <c r="U421" s="107">
        <f t="shared" si="155"/>
        <v>2792.8923986842688</v>
      </c>
      <c r="V421" s="107">
        <f t="shared" si="155"/>
        <v>2792.8923986842688</v>
      </c>
      <c r="W421" s="135">
        <v>2023</v>
      </c>
      <c r="X421" s="28" t="e">
        <f>+#REF!-'[1]Приложение №1'!$P502</f>
        <v>#REF!</v>
      </c>
      <c r="Z421" s="30">
        <f t="shared" si="154"/>
        <v>46137074.220000006</v>
      </c>
      <c r="AA421" s="26">
        <v>12338963.873805661</v>
      </c>
      <c r="AB421" s="26">
        <v>0</v>
      </c>
      <c r="AC421" s="26">
        <v>0</v>
      </c>
      <c r="AD421" s="26">
        <v>2959633.3144828794</v>
      </c>
      <c r="AE421" s="26">
        <v>0</v>
      </c>
      <c r="AF421" s="26"/>
      <c r="AG421" s="26">
        <v>0</v>
      </c>
      <c r="AH421" s="26">
        <v>0</v>
      </c>
      <c r="AI421" s="26">
        <v>0</v>
      </c>
      <c r="AJ421" s="26">
        <v>0</v>
      </c>
      <c r="AK421" s="26">
        <v>12052636.301892061</v>
      </c>
      <c r="AL421" s="26">
        <v>12999978.84663156</v>
      </c>
      <c r="AM421" s="26">
        <v>4442091.8521999996</v>
      </c>
      <c r="AN421" s="31">
        <v>461370.74219999998</v>
      </c>
      <c r="AO421" s="32">
        <v>882399.28878784005</v>
      </c>
      <c r="AP421" s="77">
        <f>+N421-'Приложение №2'!E421</f>
        <v>0</v>
      </c>
      <c r="AQ421" s="1">
        <v>1885661.97</v>
      </c>
      <c r="AR421" s="1">
        <f>+(K421*10+L421*20)*12*0.85</f>
        <v>481144.2</v>
      </c>
      <c r="AS421" s="1">
        <f>+(K421*10+L421*20)*12*30</f>
        <v>16981560</v>
      </c>
      <c r="AT421" s="28">
        <f t="shared" si="152"/>
        <v>-6739574.1469000001</v>
      </c>
      <c r="AU421" s="28">
        <f>+P421-'[6]Приложение №1'!$P399</f>
        <v>0</v>
      </c>
      <c r="AV421" s="28">
        <f>+Q421-'[6]Приложение №1'!$Q399</f>
        <v>0</v>
      </c>
      <c r="AW421" s="28">
        <f>+R421-'[6]Приложение №1'!$R399</f>
        <v>0</v>
      </c>
      <c r="AX421" s="28">
        <f>+S421-'[6]Приложение №1'!$S399</f>
        <v>0</v>
      </c>
      <c r="AY421" s="28">
        <f>+T421-'[6]Приложение №1'!$T399</f>
        <v>0</v>
      </c>
    </row>
    <row r="422" spans="1:51" x14ac:dyDescent="0.25">
      <c r="A422" s="137">
        <f t="shared" si="153"/>
        <v>404</v>
      </c>
      <c r="B422" s="138">
        <f t="shared" si="153"/>
        <v>216</v>
      </c>
      <c r="C422" s="120" t="s">
        <v>46</v>
      </c>
      <c r="D422" s="120" t="s">
        <v>222</v>
      </c>
      <c r="E422" s="121">
        <v>1974</v>
      </c>
      <c r="F422" s="121">
        <v>2014</v>
      </c>
      <c r="G422" s="121" t="s">
        <v>43</v>
      </c>
      <c r="H422" s="121">
        <v>4</v>
      </c>
      <c r="I422" s="121">
        <v>6</v>
      </c>
      <c r="J422" s="107">
        <v>4464.7</v>
      </c>
      <c r="K422" s="107">
        <v>4072.9</v>
      </c>
      <c r="L422" s="107">
        <v>35.1</v>
      </c>
      <c r="M422" s="122">
        <v>161</v>
      </c>
      <c r="N422" s="133">
        <f t="shared" si="148"/>
        <v>11997336.196299998</v>
      </c>
      <c r="O422" s="107"/>
      <c r="P422" s="108"/>
      <c r="Q422" s="108"/>
      <c r="R422" s="108">
        <v>0</v>
      </c>
      <c r="S422" s="108">
        <f>+'Приложение №2'!E422-'Приложение №1'!R422</f>
        <v>11997336.196299998</v>
      </c>
      <c r="T422" s="108">
        <v>0</v>
      </c>
      <c r="U422" s="107">
        <f t="shared" si="155"/>
        <v>2920.4810604430377</v>
      </c>
      <c r="V422" s="107">
        <f t="shared" si="155"/>
        <v>2920.4810604430377</v>
      </c>
      <c r="W422" s="135">
        <v>2023</v>
      </c>
      <c r="X422" s="28" t="e">
        <f>+#REF!-'[1]Приложение №1'!$P827</f>
        <v>#REF!</v>
      </c>
      <c r="Z422" s="30">
        <f t="shared" si="154"/>
        <v>13183885.93</v>
      </c>
      <c r="AA422" s="26">
        <v>11740593.201699179</v>
      </c>
      <c r="AB422" s="26">
        <v>0</v>
      </c>
      <c r="AC422" s="26">
        <v>0</v>
      </c>
      <c r="AD422" s="26">
        <v>0</v>
      </c>
      <c r="AE422" s="26">
        <v>0</v>
      </c>
      <c r="AF422" s="26"/>
      <c r="AG422" s="26">
        <v>0</v>
      </c>
      <c r="AH422" s="26">
        <v>0</v>
      </c>
      <c r="AI422" s="26">
        <v>0</v>
      </c>
      <c r="AJ422" s="26">
        <v>0</v>
      </c>
      <c r="AK422" s="26">
        <v>0</v>
      </c>
      <c r="AL422" s="26">
        <v>0</v>
      </c>
      <c r="AM422" s="26">
        <v>1054710.8744000001</v>
      </c>
      <c r="AN422" s="31">
        <v>131838.85930000001</v>
      </c>
      <c r="AO422" s="32">
        <v>256742.99460081998</v>
      </c>
      <c r="AP422" s="77">
        <f>+N422-'Приложение №2'!E422</f>
        <v>0</v>
      </c>
      <c r="AQ422" s="28">
        <f>1783982.53-1137414.79-R162</f>
        <v>-860352.16999999993</v>
      </c>
      <c r="AR422" s="1">
        <f>+(K422*10+L422*20)*12*0.85</f>
        <v>422596.2</v>
      </c>
      <c r="AS422" s="1">
        <f>+(K422*10+L422*20)*12*30-1312050.47-S162</f>
        <v>13603109.529999999</v>
      </c>
      <c r="AT422" s="28">
        <f t="shared" si="152"/>
        <v>-1605773.3337000012</v>
      </c>
      <c r="AU422" s="28">
        <f>+P422-'[6]Приложение №1'!$P400</f>
        <v>0</v>
      </c>
      <c r="AV422" s="28">
        <f>+Q422-'[6]Приложение №1'!$Q400</f>
        <v>0</v>
      </c>
      <c r="AW422" s="28">
        <f>+R422-'[6]Приложение №1'!$R400</f>
        <v>0</v>
      </c>
      <c r="AX422" s="28">
        <f>+S422-'[6]Приложение №1'!$S400</f>
        <v>0</v>
      </c>
      <c r="AY422" s="28">
        <f>+T422-'[6]Приложение №1'!$T400</f>
        <v>0</v>
      </c>
    </row>
    <row r="423" spans="1:51" x14ac:dyDescent="0.25">
      <c r="A423" s="137">
        <f t="shared" si="153"/>
        <v>405</v>
      </c>
      <c r="B423" s="138">
        <f t="shared" si="153"/>
        <v>217</v>
      </c>
      <c r="C423" s="120" t="s">
        <v>46</v>
      </c>
      <c r="D423" s="120" t="s">
        <v>191</v>
      </c>
      <c r="E423" s="121">
        <v>1968</v>
      </c>
      <c r="F423" s="121">
        <v>2013</v>
      </c>
      <c r="G423" s="121" t="s">
        <v>43</v>
      </c>
      <c r="H423" s="121">
        <v>4</v>
      </c>
      <c r="I423" s="121">
        <v>2</v>
      </c>
      <c r="J423" s="107">
        <v>1327.8</v>
      </c>
      <c r="K423" s="107">
        <v>1187.9000000000001</v>
      </c>
      <c r="L423" s="107">
        <v>88.4</v>
      </c>
      <c r="M423" s="122">
        <v>51</v>
      </c>
      <c r="N423" s="133">
        <f t="shared" si="148"/>
        <v>8799436.5950600002</v>
      </c>
      <c r="O423" s="107"/>
      <c r="P423" s="108">
        <v>1179956.7183533337</v>
      </c>
      <c r="Q423" s="108"/>
      <c r="R423" s="108">
        <f>+AQ423+AR423</f>
        <v>634170.78</v>
      </c>
      <c r="S423" s="108">
        <f>+AS423</f>
        <v>4912920</v>
      </c>
      <c r="T423" s="108">
        <f>+'Приложение №2'!E423-'Приложение №1'!P423-'Приложение №1'!Q423-'Приложение №1'!R423-'Приложение №1'!S423</f>
        <v>2072389.0967066661</v>
      </c>
      <c r="U423" s="107">
        <f t="shared" si="155"/>
        <v>6894.4892228002809</v>
      </c>
      <c r="V423" s="107">
        <f t="shared" si="155"/>
        <v>6894.4892228002809</v>
      </c>
      <c r="W423" s="135">
        <v>2023</v>
      </c>
      <c r="X423" s="28" t="e">
        <f>+#REF!-'[1]Приложение №1'!$P1620</f>
        <v>#REF!</v>
      </c>
      <c r="Z423" s="30">
        <f t="shared" si="154"/>
        <v>15295757.840000004</v>
      </c>
      <c r="AA423" s="26">
        <v>3445493.8413932403</v>
      </c>
      <c r="AB423" s="26">
        <v>1263471.7949082602</v>
      </c>
      <c r="AC423" s="26">
        <v>1320031.53024918</v>
      </c>
      <c r="AD423" s="26">
        <v>826438.78871232003</v>
      </c>
      <c r="AE423" s="26">
        <v>0</v>
      </c>
      <c r="AF423" s="26"/>
      <c r="AG423" s="26">
        <v>113745.43921776001</v>
      </c>
      <c r="AH423" s="26">
        <v>0</v>
      </c>
      <c r="AI423" s="26">
        <v>6482085.1365060005</v>
      </c>
      <c r="AJ423" s="26">
        <v>0</v>
      </c>
      <c r="AK423" s="26">
        <v>0</v>
      </c>
      <c r="AL423" s="26">
        <v>0</v>
      </c>
      <c r="AM423" s="26">
        <v>1397381.7750000001</v>
      </c>
      <c r="AN423" s="31">
        <v>152957.5784</v>
      </c>
      <c r="AO423" s="32">
        <v>294151.95561324002</v>
      </c>
      <c r="AP423" s="77">
        <f>+N423-'Приложение №2'!E423</f>
        <v>0</v>
      </c>
      <c r="AQ423" s="1">
        <v>494971.38</v>
      </c>
      <c r="AR423" s="1">
        <f>+(K423*10+L423*20)*12*0.85</f>
        <v>139199.4</v>
      </c>
      <c r="AS423" s="1">
        <f>+(K423*10+L423*20)*12*30</f>
        <v>4912920</v>
      </c>
      <c r="AT423" s="28">
        <f t="shared" si="152"/>
        <v>0</v>
      </c>
      <c r="AU423" s="28">
        <f>+P423-'[6]Приложение №1'!$P401</f>
        <v>0</v>
      </c>
      <c r="AV423" s="28">
        <f>+Q423-'[6]Приложение №1'!$Q401</f>
        <v>0</v>
      </c>
      <c r="AW423" s="28">
        <f>+R423-'[6]Приложение №1'!$R401</f>
        <v>0</v>
      </c>
      <c r="AX423" s="28">
        <f>+S423-'[6]Приложение №1'!$S401</f>
        <v>0</v>
      </c>
      <c r="AY423" s="28">
        <f>+T423-'[6]Приложение №1'!$T401</f>
        <v>0</v>
      </c>
    </row>
    <row r="424" spans="1:51" x14ac:dyDescent="0.25">
      <c r="A424" s="137">
        <f t="shared" si="153"/>
        <v>406</v>
      </c>
      <c r="B424" s="138">
        <f t="shared" si="153"/>
        <v>218</v>
      </c>
      <c r="C424" s="120" t="s">
        <v>46</v>
      </c>
      <c r="D424" s="120" t="s">
        <v>648</v>
      </c>
      <c r="E424" s="121">
        <v>1991</v>
      </c>
      <c r="F424" s="121">
        <v>2015</v>
      </c>
      <c r="G424" s="121" t="s">
        <v>43</v>
      </c>
      <c r="H424" s="121">
        <v>9</v>
      </c>
      <c r="I424" s="121">
        <v>3</v>
      </c>
      <c r="J424" s="107">
        <v>6893.1</v>
      </c>
      <c r="K424" s="107">
        <v>6102.4</v>
      </c>
      <c r="L424" s="107">
        <v>65.5</v>
      </c>
      <c r="M424" s="122">
        <v>255</v>
      </c>
      <c r="N424" s="133">
        <f t="shared" si="148"/>
        <v>19723222.893742397</v>
      </c>
      <c r="O424" s="107"/>
      <c r="P424" s="108"/>
      <c r="Q424" s="108"/>
      <c r="R424" s="108">
        <f>+AQ424+AR424</f>
        <v>4332299.0011999998</v>
      </c>
      <c r="S424" s="108">
        <f>+'Приложение №2'!E424-'Приложение №1'!R424</f>
        <v>15390923.892542398</v>
      </c>
      <c r="T424" s="108">
        <v>0</v>
      </c>
      <c r="U424" s="107">
        <f t="shared" si="155"/>
        <v>3197.72092507051</v>
      </c>
      <c r="V424" s="107">
        <f t="shared" si="155"/>
        <v>3197.72092507051</v>
      </c>
      <c r="W424" s="135">
        <v>2023</v>
      </c>
      <c r="X424" s="28" t="e">
        <f>+#REF!-'[1]Приложение №1'!$P1447</f>
        <v>#REF!</v>
      </c>
      <c r="Z424" s="30">
        <f t="shared" si="154"/>
        <v>135273087.03</v>
      </c>
      <c r="AA424" s="26">
        <v>14114712.016718039</v>
      </c>
      <c r="AB424" s="26">
        <v>9686997.1466872804</v>
      </c>
      <c r="AC424" s="26">
        <v>5896650.3147518393</v>
      </c>
      <c r="AD424" s="26">
        <v>5320168.0919898003</v>
      </c>
      <c r="AE424" s="26">
        <v>0</v>
      </c>
      <c r="AF424" s="26"/>
      <c r="AG424" s="26">
        <v>679030.95234239998</v>
      </c>
      <c r="AH424" s="26">
        <v>0</v>
      </c>
      <c r="AI424" s="26">
        <v>6885510.0487487996</v>
      </c>
      <c r="AJ424" s="26">
        <v>0</v>
      </c>
      <c r="AK424" s="26">
        <v>59777000.180442296</v>
      </c>
      <c r="AL424" s="26">
        <v>15720059.33396766</v>
      </c>
      <c r="AM424" s="26">
        <v>13258054.825500002</v>
      </c>
      <c r="AN424" s="31">
        <v>1352730.8703000001</v>
      </c>
      <c r="AO424" s="32">
        <v>2582173.2485518805</v>
      </c>
      <c r="AP424" s="77">
        <f>+N424-'Приложение №2'!E424</f>
        <v>0</v>
      </c>
      <c r="AQ424" s="28">
        <f>3490024.25</f>
        <v>3490024.25</v>
      </c>
      <c r="AR424" s="1">
        <f t="shared" ref="AR424:AR432" si="156">+(K424*13.29+L424*22.52)*12*0.85</f>
        <v>842274.75119999982</v>
      </c>
      <c r="AS424" s="1">
        <f>+(K424*13.29+L424*22.52)*12*30</f>
        <v>29727344.159999996</v>
      </c>
      <c r="AT424" s="28">
        <f t="shared" si="152"/>
        <v>-14336420.267457599</v>
      </c>
      <c r="AU424" s="28">
        <f>+P424-'[6]Приложение №1'!$P402</f>
        <v>0</v>
      </c>
      <c r="AV424" s="28">
        <f>+Q424-'[6]Приложение №1'!$Q402</f>
        <v>0</v>
      </c>
      <c r="AW424" s="28">
        <f>+R424-'[6]Приложение №1'!$R402</f>
        <v>3192210.2211999996</v>
      </c>
      <c r="AX424" s="28">
        <f>+S424-'[6]Приложение №1'!$S402</f>
        <v>1428609.5387999993</v>
      </c>
      <c r="AY424" s="28">
        <f>+T424-'[6]Приложение №1'!$T402</f>
        <v>0</v>
      </c>
    </row>
    <row r="425" spans="1:51" x14ac:dyDescent="0.25">
      <c r="A425" s="137">
        <f t="shared" si="153"/>
        <v>407</v>
      </c>
      <c r="B425" s="138">
        <f t="shared" si="153"/>
        <v>219</v>
      </c>
      <c r="C425" s="120" t="s">
        <v>46</v>
      </c>
      <c r="D425" s="120" t="s">
        <v>649</v>
      </c>
      <c r="E425" s="121">
        <v>1989</v>
      </c>
      <c r="F425" s="121">
        <v>2015</v>
      </c>
      <c r="G425" s="121" t="s">
        <v>43</v>
      </c>
      <c r="H425" s="121">
        <v>9</v>
      </c>
      <c r="I425" s="121">
        <v>1</v>
      </c>
      <c r="J425" s="107">
        <v>2263.8000000000002</v>
      </c>
      <c r="K425" s="107">
        <v>1890.48</v>
      </c>
      <c r="L425" s="107">
        <v>120.7</v>
      </c>
      <c r="M425" s="122">
        <v>89</v>
      </c>
      <c r="N425" s="133">
        <f t="shared" si="148"/>
        <v>5340335.5010032002</v>
      </c>
      <c r="O425" s="107"/>
      <c r="P425" s="108"/>
      <c r="Q425" s="108"/>
      <c r="R425" s="108">
        <f>+AQ425+AR425</f>
        <v>1315469.3506400001</v>
      </c>
      <c r="S425" s="108">
        <f>+'Приложение №2'!E425-'Приложение №1'!R425</f>
        <v>4024866.1503632003</v>
      </c>
      <c r="T425" s="108">
        <v>0</v>
      </c>
      <c r="U425" s="107">
        <f t="shared" si="155"/>
        <v>2655.3244866213863</v>
      </c>
      <c r="V425" s="107">
        <f t="shared" si="155"/>
        <v>2655.3244866213863</v>
      </c>
      <c r="W425" s="135">
        <v>2023</v>
      </c>
      <c r="X425" s="28" t="e">
        <f>+#REF!-'[1]Приложение №1'!$P1448</f>
        <v>#REF!</v>
      </c>
      <c r="Z425" s="30">
        <f t="shared" si="154"/>
        <v>9119250.5200000014</v>
      </c>
      <c r="AA425" s="26">
        <v>4650099.0199755002</v>
      </c>
      <c r="AB425" s="26">
        <v>3191386.1136439806</v>
      </c>
      <c r="AC425" s="26">
        <v>0</v>
      </c>
      <c r="AD425" s="26">
        <v>0</v>
      </c>
      <c r="AE425" s="26">
        <v>0</v>
      </c>
      <c r="AF425" s="26"/>
      <c r="AG425" s="26">
        <v>223707.09100319998</v>
      </c>
      <c r="AH425" s="26">
        <v>0</v>
      </c>
      <c r="AI425" s="26">
        <v>0</v>
      </c>
      <c r="AJ425" s="26">
        <v>0</v>
      </c>
      <c r="AK425" s="26">
        <v>0</v>
      </c>
      <c r="AL425" s="26">
        <v>0</v>
      </c>
      <c r="AM425" s="26">
        <v>786496.37100000004</v>
      </c>
      <c r="AN425" s="31">
        <v>91192.505200000014</v>
      </c>
      <c r="AO425" s="32">
        <v>176369.41917732003</v>
      </c>
      <c r="AP425" s="77">
        <f>+N425-'Приложение №2'!E425</f>
        <v>0</v>
      </c>
      <c r="AQ425" s="1">
        <v>1031474.39</v>
      </c>
      <c r="AR425" s="1">
        <f t="shared" si="156"/>
        <v>283994.96064</v>
      </c>
      <c r="AS425" s="1">
        <f>+(K425*13.29+L425*22.52)*12*30</f>
        <v>10023351.552000001</v>
      </c>
      <c r="AT425" s="28">
        <f t="shared" si="152"/>
        <v>-5998485.4016368007</v>
      </c>
      <c r="AU425" s="28">
        <f>+P425-'[6]Приложение №1'!$P403</f>
        <v>0</v>
      </c>
      <c r="AV425" s="28">
        <f>+Q425-'[6]Приложение №1'!$Q403</f>
        <v>0</v>
      </c>
      <c r="AW425" s="28">
        <f>+R425-'[6]Приложение №1'!$R403</f>
        <v>0</v>
      </c>
      <c r="AX425" s="28">
        <f>+S425-'[6]Приложение №1'!$S403</f>
        <v>0</v>
      </c>
      <c r="AY425" s="28">
        <f>+T425-'[6]Приложение №1'!$T403</f>
        <v>0</v>
      </c>
    </row>
    <row r="426" spans="1:51" x14ac:dyDescent="0.25">
      <c r="A426" s="137">
        <f t="shared" ref="A426:B441" si="157">+A425+1</f>
        <v>408</v>
      </c>
      <c r="B426" s="138">
        <f t="shared" si="157"/>
        <v>220</v>
      </c>
      <c r="C426" s="120" t="s">
        <v>46</v>
      </c>
      <c r="D426" s="120" t="s">
        <v>650</v>
      </c>
      <c r="E426" s="121">
        <v>1990</v>
      </c>
      <c r="F426" s="121">
        <v>2015</v>
      </c>
      <c r="G426" s="121" t="s">
        <v>43</v>
      </c>
      <c r="H426" s="121">
        <v>9</v>
      </c>
      <c r="I426" s="121">
        <v>4</v>
      </c>
      <c r="J426" s="107">
        <v>9225.6</v>
      </c>
      <c r="K426" s="107">
        <v>8138.5</v>
      </c>
      <c r="L426" s="107">
        <v>48</v>
      </c>
      <c r="M426" s="122">
        <v>380</v>
      </c>
      <c r="N426" s="133">
        <f t="shared" si="148"/>
        <v>25200863.723121602</v>
      </c>
      <c r="O426" s="107"/>
      <c r="P426" s="108"/>
      <c r="Q426" s="108"/>
      <c r="R426" s="108">
        <f>+AQ426+AR426</f>
        <v>5532618.585</v>
      </c>
      <c r="S426" s="108">
        <f>+'Приложение №2'!E426-'Приложение №1'!R426</f>
        <v>19668245.138121601</v>
      </c>
      <c r="T426" s="108">
        <v>9.3132257461547852E-10</v>
      </c>
      <c r="U426" s="107">
        <f t="shared" si="155"/>
        <v>3078.3440692752215</v>
      </c>
      <c r="V426" s="107">
        <f t="shared" si="155"/>
        <v>3078.3440692752215</v>
      </c>
      <c r="W426" s="135">
        <v>2023</v>
      </c>
      <c r="X426" s="28" t="e">
        <f>+#REF!-'[1]Приложение №1'!$P1449</f>
        <v>#REF!</v>
      </c>
      <c r="Z426" s="30">
        <f t="shared" si="154"/>
        <v>88860936.86999999</v>
      </c>
      <c r="AA426" s="26">
        <v>18821465.971318923</v>
      </c>
      <c r="AB426" s="26">
        <v>12917265.834582899</v>
      </c>
      <c r="AC426" s="26">
        <v>7862973.2694105599</v>
      </c>
      <c r="AD426" s="26">
        <v>7094254.7407149589</v>
      </c>
      <c r="AE426" s="26">
        <v>0</v>
      </c>
      <c r="AF426" s="26"/>
      <c r="AG426" s="26">
        <v>905463.60092160001</v>
      </c>
      <c r="AH426" s="26">
        <v>0</v>
      </c>
      <c r="AI426" s="26">
        <v>9181582.5123036001</v>
      </c>
      <c r="AJ426" s="26">
        <v>0</v>
      </c>
      <c r="AK426" s="26">
        <v>0</v>
      </c>
      <c r="AL426" s="26">
        <v>20962139.47557744</v>
      </c>
      <c r="AM426" s="26">
        <v>8527053.2270000018</v>
      </c>
      <c r="AN426" s="31">
        <v>888609.36870000011</v>
      </c>
      <c r="AO426" s="32">
        <v>1700128.8694700203</v>
      </c>
      <c r="AP426" s="77">
        <f>+N426-'Приложение №2'!E426</f>
        <v>0</v>
      </c>
      <c r="AQ426" s="28">
        <f>4418354.01</f>
        <v>4418354.01</v>
      </c>
      <c r="AR426" s="1">
        <f t="shared" si="156"/>
        <v>1114264.575</v>
      </c>
      <c r="AS426" s="1">
        <f>+(K426*13.29+L426*22.52)*12*30</f>
        <v>39326985</v>
      </c>
      <c r="AT426" s="28">
        <f t="shared" si="152"/>
        <v>-19658739.861878399</v>
      </c>
      <c r="AU426" s="28">
        <f>+P426-'[6]Приложение №1'!$P404</f>
        <v>0</v>
      </c>
      <c r="AV426" s="28">
        <f>+Q426-'[6]Приложение №1'!$Q404</f>
        <v>0</v>
      </c>
      <c r="AW426" s="28">
        <f>+R426-'[6]Приложение №1'!$R404</f>
        <v>0</v>
      </c>
      <c r="AX426" s="28">
        <f>+S426-'[6]Приложение №1'!$S404</f>
        <v>0</v>
      </c>
      <c r="AY426" s="28">
        <f>+T426-'[6]Приложение №1'!$T404</f>
        <v>0</v>
      </c>
    </row>
    <row r="427" spans="1:51" x14ac:dyDescent="0.25">
      <c r="A427" s="137">
        <f t="shared" si="157"/>
        <v>409</v>
      </c>
      <c r="B427" s="138">
        <f t="shared" si="157"/>
        <v>221</v>
      </c>
      <c r="C427" s="120" t="s">
        <v>46</v>
      </c>
      <c r="D427" s="120" t="s">
        <v>634</v>
      </c>
      <c r="E427" s="121">
        <v>1992</v>
      </c>
      <c r="F427" s="121">
        <v>2015</v>
      </c>
      <c r="G427" s="121" t="s">
        <v>43</v>
      </c>
      <c r="H427" s="121">
        <v>9</v>
      </c>
      <c r="I427" s="121">
        <v>3</v>
      </c>
      <c r="J427" s="107">
        <v>6872</v>
      </c>
      <c r="K427" s="107">
        <v>6094.4</v>
      </c>
      <c r="L427" s="107">
        <v>0</v>
      </c>
      <c r="M427" s="122">
        <v>259</v>
      </c>
      <c r="N427" s="133">
        <f t="shared" si="148"/>
        <v>14909658.0872232</v>
      </c>
      <c r="O427" s="107"/>
      <c r="P427" s="108"/>
      <c r="Q427" s="108"/>
      <c r="R427" s="108">
        <v>1484681.68870748</v>
      </c>
      <c r="S427" s="108">
        <f>+'Приложение №2'!E427-'Приложение №1'!R427</f>
        <v>13424976.39851572</v>
      </c>
      <c r="T427" s="108">
        <f>+'Приложение №2'!E427-'Приложение №1'!P427-'Приложение №1'!Q427-'Приложение №1'!R427-'Приложение №1'!S427</f>
        <v>0</v>
      </c>
      <c r="U427" s="107">
        <f t="shared" si="155"/>
        <v>2446.4521671080338</v>
      </c>
      <c r="V427" s="107">
        <f t="shared" si="155"/>
        <v>2446.4521671080338</v>
      </c>
      <c r="W427" s="135">
        <v>2023</v>
      </c>
      <c r="X427" s="28" t="e">
        <f>+#REF!-'[1]Приложение №1'!$P1158</f>
        <v>#REF!</v>
      </c>
      <c r="Y427" s="1" t="s">
        <v>85</v>
      </c>
      <c r="Z427" s="30">
        <f t="shared" si="154"/>
        <v>58070573.899999999</v>
      </c>
      <c r="AA427" s="26">
        <v>13934572.418976301</v>
      </c>
      <c r="AB427" s="26">
        <v>9563366.4457228798</v>
      </c>
      <c r="AC427" s="26">
        <v>5821394.0711791199</v>
      </c>
      <c r="AD427" s="26">
        <v>5252269.220784599</v>
      </c>
      <c r="AE427" s="26">
        <v>0</v>
      </c>
      <c r="AF427" s="26"/>
      <c r="AG427" s="26">
        <v>670364.7917232</v>
      </c>
      <c r="AH427" s="26">
        <v>0</v>
      </c>
      <c r="AI427" s="26">
        <v>0</v>
      </c>
      <c r="AJ427" s="26">
        <v>0</v>
      </c>
      <c r="AK427" s="26">
        <v>0</v>
      </c>
      <c r="AL427" s="26">
        <v>15519431.430770401</v>
      </c>
      <c r="AM427" s="26">
        <v>5618420.8085000012</v>
      </c>
      <c r="AN427" s="31">
        <v>580705.73900000006</v>
      </c>
      <c r="AO427" s="32">
        <v>1110048.9733435002</v>
      </c>
      <c r="AP427" s="77">
        <f>+N427-'Приложение №2'!E427</f>
        <v>0</v>
      </c>
      <c r="AQ427" s="28">
        <f>3336709.09-263343.45-R164</f>
        <v>3073365.6399999997</v>
      </c>
      <c r="AR427" s="1">
        <f t="shared" si="156"/>
        <v>826144.67519999982</v>
      </c>
      <c r="AS427" s="1">
        <f>+(K427*13.29+L427*22.52)*12*30-1442656.44</f>
        <v>27715390.919999991</v>
      </c>
      <c r="AT427" s="28">
        <f t="shared" si="152"/>
        <v>-14290414.521484271</v>
      </c>
      <c r="AU427" s="28">
        <f>+P427-'[6]Приложение №1'!$P405</f>
        <v>0</v>
      </c>
      <c r="AV427" s="28">
        <f>+Q427-'[6]Приложение №1'!$Q405</f>
        <v>0</v>
      </c>
      <c r="AW427" s="28">
        <f>+R427-'[6]Приложение №1'!$R405</f>
        <v>0</v>
      </c>
      <c r="AX427" s="28">
        <f>+S427-'[6]Приложение №1'!$S405</f>
        <v>0</v>
      </c>
      <c r="AY427" s="28">
        <f>+T427-'[6]Приложение №1'!$T405</f>
        <v>0</v>
      </c>
    </row>
    <row r="428" spans="1:51" x14ac:dyDescent="0.25">
      <c r="A428" s="137">
        <f t="shared" si="157"/>
        <v>410</v>
      </c>
      <c r="B428" s="138">
        <f t="shared" si="157"/>
        <v>222</v>
      </c>
      <c r="C428" s="120" t="s">
        <v>46</v>
      </c>
      <c r="D428" s="120" t="s">
        <v>633</v>
      </c>
      <c r="E428" s="121">
        <v>1989</v>
      </c>
      <c r="F428" s="121">
        <v>2015</v>
      </c>
      <c r="G428" s="121" t="s">
        <v>43</v>
      </c>
      <c r="H428" s="121">
        <v>9</v>
      </c>
      <c r="I428" s="121">
        <v>4</v>
      </c>
      <c r="J428" s="107">
        <v>9199.2999999999993</v>
      </c>
      <c r="K428" s="107">
        <v>8072</v>
      </c>
      <c r="L428" s="107">
        <v>65.599999999999994</v>
      </c>
      <c r="M428" s="122">
        <v>366</v>
      </c>
      <c r="N428" s="133">
        <f t="shared" si="148"/>
        <v>39658580.604182005</v>
      </c>
      <c r="O428" s="107"/>
      <c r="P428" s="108">
        <v>11067050.84</v>
      </c>
      <c r="Q428" s="108"/>
      <c r="R428" s="108">
        <f>+AQ428+AR428-R163</f>
        <v>4700408.8283999991</v>
      </c>
      <c r="S428" s="108">
        <f>+AS428</f>
        <v>14473887.709999997</v>
      </c>
      <c r="T428" s="108">
        <f>+'Приложение №2'!E428-'Приложение №1'!P428-'Приложение №1'!Q428-'Приложение №1'!R428-'Приложение №1'!S428</f>
        <v>9417233.2257820107</v>
      </c>
      <c r="U428" s="107">
        <f t="shared" si="155"/>
        <v>4873.4984029913003</v>
      </c>
      <c r="V428" s="107">
        <f t="shared" si="155"/>
        <v>4873.4984029913003</v>
      </c>
      <c r="W428" s="135">
        <v>2023</v>
      </c>
      <c r="X428" s="28" t="e">
        <f>+#REF!-'[1]Приложение №1'!$P1450</f>
        <v>#REF!</v>
      </c>
      <c r="Z428" s="30">
        <f t="shared" si="154"/>
        <v>77772109.160000011</v>
      </c>
      <c r="AA428" s="26">
        <v>18662138.402554922</v>
      </c>
      <c r="AB428" s="26">
        <v>12807918.526641842</v>
      </c>
      <c r="AC428" s="26">
        <v>7796411.5854290398</v>
      </c>
      <c r="AD428" s="26">
        <v>7034200.4194895998</v>
      </c>
      <c r="AE428" s="26">
        <v>0</v>
      </c>
      <c r="AF428" s="26"/>
      <c r="AG428" s="26">
        <v>897798.66553440015</v>
      </c>
      <c r="AH428" s="26">
        <v>0</v>
      </c>
      <c r="AI428" s="26">
        <v>0</v>
      </c>
      <c r="AJ428" s="26">
        <v>0</v>
      </c>
      <c r="AK428" s="26">
        <v>0</v>
      </c>
      <c r="AL428" s="26">
        <v>20784690.663111482</v>
      </c>
      <c r="AM428" s="26">
        <v>7524575.8236000016</v>
      </c>
      <c r="AN428" s="31">
        <v>777721.09159999993</v>
      </c>
      <c r="AO428" s="32">
        <v>1486653.9820387203</v>
      </c>
      <c r="AP428" s="77">
        <f>+N428-'Приложение №2'!E428</f>
        <v>0</v>
      </c>
      <c r="AQ428" s="1">
        <v>4641267.93</v>
      </c>
      <c r="AR428" s="1">
        <f t="shared" si="156"/>
        <v>1109292.7583999999</v>
      </c>
      <c r="AS428" s="1">
        <f>+(K428*13.29+L428*22.52)*12*30-AS163</f>
        <v>14473887.709999997</v>
      </c>
      <c r="AT428" s="28">
        <f t="shared" si="152"/>
        <v>0</v>
      </c>
      <c r="AU428" s="28">
        <f>+P428-'[6]Приложение №1'!$P406</f>
        <v>0</v>
      </c>
      <c r="AV428" s="28">
        <f>+Q428-'[6]Приложение №1'!$Q406</f>
        <v>0</v>
      </c>
      <c r="AW428" s="28">
        <f>+R428-'[6]Приложение №1'!$R406</f>
        <v>0</v>
      </c>
      <c r="AX428" s="28">
        <f>+S428-'[6]Приложение №1'!$S406</f>
        <v>0</v>
      </c>
      <c r="AY428" s="28">
        <f>+T428-'[6]Приложение №1'!$T406</f>
        <v>0</v>
      </c>
    </row>
    <row r="429" spans="1:51" x14ac:dyDescent="0.25">
      <c r="A429" s="137">
        <f t="shared" si="157"/>
        <v>411</v>
      </c>
      <c r="B429" s="138">
        <f t="shared" si="157"/>
        <v>223</v>
      </c>
      <c r="C429" s="120" t="s">
        <v>46</v>
      </c>
      <c r="D429" s="120" t="s">
        <v>651</v>
      </c>
      <c r="E429" s="121">
        <v>1981</v>
      </c>
      <c r="F429" s="121">
        <v>2012</v>
      </c>
      <c r="G429" s="121" t="s">
        <v>43</v>
      </c>
      <c r="H429" s="121">
        <v>9</v>
      </c>
      <c r="I429" s="121">
        <v>1</v>
      </c>
      <c r="J429" s="107">
        <v>3186</v>
      </c>
      <c r="K429" s="107">
        <v>2438</v>
      </c>
      <c r="L429" s="107">
        <v>0</v>
      </c>
      <c r="M429" s="122">
        <v>147</v>
      </c>
      <c r="N429" s="133">
        <f t="shared" si="148"/>
        <v>24395451.924600001</v>
      </c>
      <c r="O429" s="107"/>
      <c r="P429" s="108">
        <v>4675363.0278000021</v>
      </c>
      <c r="Q429" s="108"/>
      <c r="R429" s="108">
        <f>+AQ429+AR429</f>
        <v>1721639.844</v>
      </c>
      <c r="S429" s="108">
        <f>+AS429</f>
        <v>11664367.199999999</v>
      </c>
      <c r="T429" s="108">
        <f>+'Приложение №2'!E429-'Приложение №1'!P429-'Приложение №1'!Q429-'Приложение №1'!R429-'Приложение №1'!S429</f>
        <v>6334081.8528000005</v>
      </c>
      <c r="U429" s="107">
        <f t="shared" si="155"/>
        <v>10006.337951025431</v>
      </c>
      <c r="V429" s="107">
        <f t="shared" si="155"/>
        <v>10006.337951025431</v>
      </c>
      <c r="W429" s="135">
        <v>2023</v>
      </c>
      <c r="X429" s="28" t="e">
        <f>+#REF!-'[1]Приложение №1'!$P830</f>
        <v>#REF!</v>
      </c>
      <c r="Z429" s="30">
        <f t="shared" si="154"/>
        <v>50902320.63000001</v>
      </c>
      <c r="AA429" s="26">
        <v>5637051.2554028397</v>
      </c>
      <c r="AB429" s="26">
        <v>3868736.3499422399</v>
      </c>
      <c r="AC429" s="26">
        <v>2354969.76838536</v>
      </c>
      <c r="AD429" s="26">
        <v>2124737.6642049598</v>
      </c>
      <c r="AE429" s="26">
        <v>0</v>
      </c>
      <c r="AF429" s="26"/>
      <c r="AG429" s="26">
        <v>271187.41644959996</v>
      </c>
      <c r="AH429" s="26">
        <v>0</v>
      </c>
      <c r="AI429" s="26">
        <v>0</v>
      </c>
      <c r="AJ429" s="26">
        <v>0</v>
      </c>
      <c r="AK429" s="26">
        <v>23873389.253413562</v>
      </c>
      <c r="AL429" s="26">
        <v>6278185.5016536601</v>
      </c>
      <c r="AM429" s="26">
        <v>5013921.5710000005</v>
      </c>
      <c r="AN429" s="31">
        <v>509023.20629999996</v>
      </c>
      <c r="AO429" s="32">
        <v>971118.64324777992</v>
      </c>
      <c r="AP429" s="77">
        <f>+N429-'Приложение №2'!E429</f>
        <v>0</v>
      </c>
      <c r="AQ429" s="1">
        <v>1391149.44</v>
      </c>
      <c r="AR429" s="1">
        <f t="shared" si="156"/>
        <v>330490.40399999998</v>
      </c>
      <c r="AS429" s="1">
        <f>+(K429*13.29+L429*22.52)*12*30</f>
        <v>11664367.199999999</v>
      </c>
      <c r="AT429" s="28">
        <f t="shared" si="152"/>
        <v>0</v>
      </c>
      <c r="AU429" s="28">
        <f>+P429-'[6]Приложение №1'!$P407</f>
        <v>0</v>
      </c>
      <c r="AV429" s="28">
        <f>+Q429-'[6]Приложение №1'!$Q407</f>
        <v>0</v>
      </c>
      <c r="AW429" s="28">
        <f>+R429-'[6]Приложение №1'!$R407</f>
        <v>0</v>
      </c>
      <c r="AX429" s="28">
        <f>+S429-'[6]Приложение №1'!$S407</f>
        <v>0</v>
      </c>
      <c r="AY429" s="28">
        <f>+T429-'[6]Приложение №1'!$T407</f>
        <v>0</v>
      </c>
    </row>
    <row r="430" spans="1:51" x14ac:dyDescent="0.25">
      <c r="A430" s="137">
        <f t="shared" si="157"/>
        <v>412</v>
      </c>
      <c r="B430" s="138">
        <f t="shared" si="157"/>
        <v>224</v>
      </c>
      <c r="C430" s="120" t="s">
        <v>46</v>
      </c>
      <c r="D430" s="120" t="s">
        <v>652</v>
      </c>
      <c r="E430" s="121">
        <v>1989</v>
      </c>
      <c r="F430" s="121">
        <v>2015</v>
      </c>
      <c r="G430" s="121" t="s">
        <v>43</v>
      </c>
      <c r="H430" s="121">
        <v>9</v>
      </c>
      <c r="I430" s="121">
        <v>1</v>
      </c>
      <c r="J430" s="107">
        <v>2250.9</v>
      </c>
      <c r="K430" s="107">
        <v>2005.7</v>
      </c>
      <c r="L430" s="107">
        <v>0</v>
      </c>
      <c r="M430" s="122">
        <v>81</v>
      </c>
      <c r="N430" s="133">
        <f t="shared" si="148"/>
        <v>8858174.1696719993</v>
      </c>
      <c r="O430" s="107"/>
      <c r="P430" s="108"/>
      <c r="Q430" s="108"/>
      <c r="R430" s="108">
        <f>+AQ430+AR430</f>
        <v>1375698.0906</v>
      </c>
      <c r="S430" s="108">
        <f>+'Приложение №2'!E430-'Приложение №1'!R430</f>
        <v>7482476.0790719995</v>
      </c>
      <c r="T430" s="108">
        <v>0</v>
      </c>
      <c r="U430" s="107">
        <f t="shared" si="155"/>
        <v>4416.500059665952</v>
      </c>
      <c r="V430" s="107">
        <f t="shared" si="155"/>
        <v>4416.500059665952</v>
      </c>
      <c r="W430" s="135">
        <v>2023</v>
      </c>
      <c r="X430" s="28" t="e">
        <f>+#REF!-'[1]Приложение №1'!$P1452</f>
        <v>#REF!</v>
      </c>
      <c r="Z430" s="30">
        <f t="shared" si="154"/>
        <v>8960039.7127500009</v>
      </c>
      <c r="AA430" s="26">
        <v>4869659.12</v>
      </c>
      <c r="AB430" s="26">
        <v>3179641.99571718</v>
      </c>
      <c r="AC430" s="26">
        <v>0</v>
      </c>
      <c r="AD430" s="26">
        <v>0</v>
      </c>
      <c r="AE430" s="26">
        <v>0</v>
      </c>
      <c r="AF430" s="26"/>
      <c r="AG430" s="26">
        <v>222883.86136800001</v>
      </c>
      <c r="AH430" s="26">
        <v>0</v>
      </c>
      <c r="AI430" s="26">
        <v>0</v>
      </c>
      <c r="AJ430" s="26">
        <v>0</v>
      </c>
      <c r="AK430" s="26">
        <v>0</v>
      </c>
      <c r="AL430" s="26">
        <v>0</v>
      </c>
      <c r="AM430" s="26">
        <v>449564.57699999999</v>
      </c>
      <c r="AN430" s="31">
        <v>61925.636700000003</v>
      </c>
      <c r="AO430" s="32">
        <v>176364.52196481999</v>
      </c>
      <c r="AP430" s="77">
        <f>+N430-'Приложение №2'!E430</f>
        <v>0</v>
      </c>
      <c r="AQ430" s="1">
        <v>1103809.4099999999</v>
      </c>
      <c r="AR430" s="1">
        <f t="shared" si="156"/>
        <v>271888.68060000002</v>
      </c>
      <c r="AS430" s="1">
        <f>+(K430*13.29+L430*22.52)*12*30</f>
        <v>9596071.0800000001</v>
      </c>
      <c r="AT430" s="28">
        <f t="shared" si="152"/>
        <v>-2113595.0009280005</v>
      </c>
      <c r="AU430" s="28">
        <f>+P430-'[6]Приложение №1'!$P408</f>
        <v>-5180548.3166666673</v>
      </c>
      <c r="AV430" s="28">
        <f>+Q430-'[6]Приложение №1'!$Q408</f>
        <v>0</v>
      </c>
      <c r="AW430" s="28">
        <f>+R430-'[6]Приложение №1'!$R408</f>
        <v>0</v>
      </c>
      <c r="AX430" s="28">
        <f>+S430-'[6]Приложение №1'!$S408</f>
        <v>0</v>
      </c>
      <c r="AY430" s="28">
        <f>+T430-'[6]Приложение №1'!$T408</f>
        <v>0</v>
      </c>
    </row>
    <row r="431" spans="1:51" x14ac:dyDescent="0.25">
      <c r="A431" s="137">
        <f t="shared" si="157"/>
        <v>413</v>
      </c>
      <c r="B431" s="138">
        <f t="shared" si="157"/>
        <v>225</v>
      </c>
      <c r="C431" s="120" t="s">
        <v>46</v>
      </c>
      <c r="D431" s="120" t="s">
        <v>653</v>
      </c>
      <c r="E431" s="121">
        <v>1988</v>
      </c>
      <c r="F431" s="121">
        <v>2014</v>
      </c>
      <c r="G431" s="121" t="s">
        <v>43</v>
      </c>
      <c r="H431" s="121">
        <v>9</v>
      </c>
      <c r="I431" s="121">
        <v>1</v>
      </c>
      <c r="J431" s="107">
        <v>2270.5</v>
      </c>
      <c r="K431" s="107">
        <v>2006.4</v>
      </c>
      <c r="L431" s="107">
        <v>66</v>
      </c>
      <c r="M431" s="122">
        <v>90</v>
      </c>
      <c r="N431" s="133">
        <f t="shared" si="148"/>
        <v>7481358.0205419995</v>
      </c>
      <c r="O431" s="107"/>
      <c r="P431" s="108"/>
      <c r="Q431" s="108"/>
      <c r="R431" s="108">
        <f>+AQ431+AR431</f>
        <v>1477419.7452</v>
      </c>
      <c r="S431" s="108">
        <f>+'Приложение №2'!E431-'Приложение №1'!R431</f>
        <v>6003938.2753419997</v>
      </c>
      <c r="T431" s="108">
        <v>0</v>
      </c>
      <c r="U431" s="107">
        <f t="shared" si="155"/>
        <v>3609.9971147182009</v>
      </c>
      <c r="V431" s="107">
        <f t="shared" si="155"/>
        <v>3609.9971147182009</v>
      </c>
      <c r="W431" s="135">
        <v>2023</v>
      </c>
      <c r="X431" s="28" t="e">
        <f>+#REF!-'[1]Приложение №1'!$P1453</f>
        <v>#REF!</v>
      </c>
      <c r="Z431" s="30">
        <f t="shared" si="154"/>
        <v>11270269.226899998</v>
      </c>
      <c r="AA431" s="26">
        <v>4965914.72</v>
      </c>
      <c r="AB431" s="26">
        <v>3178213.6485762601</v>
      </c>
      <c r="AC431" s="26">
        <v>1934636.11525968</v>
      </c>
      <c r="AD431" s="26">
        <v>0</v>
      </c>
      <c r="AE431" s="26">
        <v>0</v>
      </c>
      <c r="AF431" s="26"/>
      <c r="AG431" s="26">
        <v>222783.73884480001</v>
      </c>
      <c r="AH431" s="26">
        <v>0</v>
      </c>
      <c r="AI431" s="26">
        <v>0</v>
      </c>
      <c r="AJ431" s="26">
        <v>0</v>
      </c>
      <c r="AK431" s="26">
        <v>0</v>
      </c>
      <c r="AL431" s="26">
        <v>0</v>
      </c>
      <c r="AM431" s="26">
        <v>671526.34699999995</v>
      </c>
      <c r="AN431" s="31">
        <v>76330.362099999984</v>
      </c>
      <c r="AO431" s="32">
        <v>220864.29511925997</v>
      </c>
      <c r="AP431" s="77">
        <f>+N431-'Приложение №2'!E431</f>
        <v>0</v>
      </c>
      <c r="AQ431" s="1">
        <v>1190275.71</v>
      </c>
      <c r="AR431" s="1">
        <f t="shared" si="156"/>
        <v>287144.03519999998</v>
      </c>
      <c r="AS431" s="1">
        <f>+(K431*13.29+L431*22.52)*12*30</f>
        <v>10134495.359999999</v>
      </c>
      <c r="AT431" s="28">
        <f t="shared" si="152"/>
        <v>-4130557.0846579997</v>
      </c>
      <c r="AU431" s="28">
        <f>+P431-'[6]Приложение №1'!$P409</f>
        <v>0</v>
      </c>
      <c r="AV431" s="28">
        <f>+Q431-'[6]Приложение №1'!$Q409</f>
        <v>0</v>
      </c>
      <c r="AW431" s="28">
        <f>+R431-'[6]Приложение №1'!$R409</f>
        <v>0</v>
      </c>
      <c r="AX431" s="28">
        <f>+S431-'[6]Приложение №1'!$S409</f>
        <v>0</v>
      </c>
      <c r="AY431" s="28">
        <f>+T431-'[6]Приложение №1'!$T409</f>
        <v>0</v>
      </c>
    </row>
    <row r="432" spans="1:51" x14ac:dyDescent="0.25">
      <c r="A432" s="137">
        <f t="shared" si="157"/>
        <v>414</v>
      </c>
      <c r="B432" s="138">
        <f t="shared" si="157"/>
        <v>226</v>
      </c>
      <c r="C432" s="120" t="s">
        <v>46</v>
      </c>
      <c r="D432" s="120" t="s">
        <v>654</v>
      </c>
      <c r="E432" s="121">
        <v>1991</v>
      </c>
      <c r="F432" s="121">
        <v>2012</v>
      </c>
      <c r="G432" s="121" t="s">
        <v>43</v>
      </c>
      <c r="H432" s="121">
        <v>9</v>
      </c>
      <c r="I432" s="121">
        <v>1</v>
      </c>
      <c r="J432" s="107">
        <v>2282.58</v>
      </c>
      <c r="K432" s="107">
        <v>1973.3</v>
      </c>
      <c r="L432" s="107">
        <v>54.5</v>
      </c>
      <c r="M432" s="122">
        <v>71</v>
      </c>
      <c r="N432" s="133">
        <f t="shared" si="148"/>
        <v>2192601.5954139996</v>
      </c>
      <c r="O432" s="107"/>
      <c r="P432" s="108"/>
      <c r="Q432" s="108"/>
      <c r="R432" s="108">
        <f>+AQ432+AR432</f>
        <v>1188247.6894</v>
      </c>
      <c r="S432" s="108">
        <f>+'Приложение №2'!E432-'Приложение №1'!R432</f>
        <v>1004353.9060139996</v>
      </c>
      <c r="T432" s="108">
        <v>0</v>
      </c>
      <c r="U432" s="107">
        <f t="shared" si="155"/>
        <v>1081.2711290137092</v>
      </c>
      <c r="V432" s="107">
        <f t="shared" si="155"/>
        <v>1081.2711290137092</v>
      </c>
      <c r="W432" s="135">
        <v>2023</v>
      </c>
      <c r="X432" s="28" t="e">
        <f>+#REF!-'[1]Приложение №1'!$P1624</f>
        <v>#REF!</v>
      </c>
      <c r="Z432" s="30">
        <f t="shared" si="154"/>
        <v>11449528.669999998</v>
      </c>
      <c r="AA432" s="26">
        <v>4690983.077540759</v>
      </c>
      <c r="AB432" s="26">
        <v>3219445.0464132596</v>
      </c>
      <c r="AC432" s="26">
        <v>1959734.4140967599</v>
      </c>
      <c r="AD432" s="26">
        <v>0</v>
      </c>
      <c r="AE432" s="26">
        <v>0</v>
      </c>
      <c r="AF432" s="26"/>
      <c r="AG432" s="26">
        <v>225673.94234783997</v>
      </c>
      <c r="AH432" s="26">
        <v>0</v>
      </c>
      <c r="AI432" s="26">
        <v>0</v>
      </c>
      <c r="AJ432" s="26">
        <v>0</v>
      </c>
      <c r="AK432" s="26">
        <v>0</v>
      </c>
      <c r="AL432" s="26">
        <v>0</v>
      </c>
      <c r="AM432" s="26">
        <v>1018421.4066000001</v>
      </c>
      <c r="AN432" s="31">
        <v>114495.28669999998</v>
      </c>
      <c r="AO432" s="32">
        <v>220775.49630137999</v>
      </c>
      <c r="AP432" s="77">
        <f>+N432-'Приложение №2'!E432</f>
        <v>0</v>
      </c>
      <c r="AQ432" s="1">
        <v>908232.22</v>
      </c>
      <c r="AR432" s="1">
        <f t="shared" si="156"/>
        <v>280015.4694</v>
      </c>
      <c r="AS432" s="1">
        <f>+(K432*13.29+L432*22.52)*12*30</f>
        <v>9882898.9199999999</v>
      </c>
      <c r="AT432" s="28">
        <f t="shared" si="152"/>
        <v>-8878545.0139860008</v>
      </c>
      <c r="AU432" s="28">
        <f>+P432-'[6]Приложение №1'!$P410</f>
        <v>0</v>
      </c>
      <c r="AV432" s="28">
        <f>+Q432-'[6]Приложение №1'!$Q410</f>
        <v>0</v>
      </c>
      <c r="AW432" s="28">
        <f>+R432-'[6]Приложение №1'!$R410</f>
        <v>0</v>
      </c>
      <c r="AX432" s="28">
        <f>+S432-'[6]Приложение №1'!$S410</f>
        <v>0</v>
      </c>
      <c r="AY432" s="28">
        <f>+T432-'[6]Приложение №1'!$T410</f>
        <v>0</v>
      </c>
    </row>
    <row r="433" spans="1:51" x14ac:dyDescent="0.25">
      <c r="A433" s="137">
        <f t="shared" si="157"/>
        <v>415</v>
      </c>
      <c r="B433" s="138">
        <f t="shared" si="157"/>
        <v>227</v>
      </c>
      <c r="C433" s="120" t="s">
        <v>46</v>
      </c>
      <c r="D433" s="120" t="s">
        <v>655</v>
      </c>
      <c r="E433" s="121">
        <v>1971</v>
      </c>
      <c r="F433" s="121">
        <v>2015</v>
      </c>
      <c r="G433" s="121" t="s">
        <v>43</v>
      </c>
      <c r="H433" s="121">
        <v>4</v>
      </c>
      <c r="I433" s="121">
        <v>3</v>
      </c>
      <c r="J433" s="107">
        <v>2186.1</v>
      </c>
      <c r="K433" s="107">
        <v>2051.6</v>
      </c>
      <c r="L433" s="107">
        <v>31.5</v>
      </c>
      <c r="M433" s="122">
        <v>100</v>
      </c>
      <c r="N433" s="133">
        <f t="shared" si="148"/>
        <v>5983323.2459000004</v>
      </c>
      <c r="O433" s="107"/>
      <c r="P433" s="108"/>
      <c r="Q433" s="108"/>
      <c r="R433" s="108">
        <f>+AQ433+AR433</f>
        <v>1109273.1399999999</v>
      </c>
      <c r="S433" s="108">
        <f>+'Приложение №2'!E433-'Приложение №1'!R433</f>
        <v>4874050.1059000008</v>
      </c>
      <c r="T433" s="108">
        <v>0</v>
      </c>
      <c r="U433" s="107">
        <f t="shared" si="155"/>
        <v>2872.3168575200425</v>
      </c>
      <c r="V433" s="107">
        <f t="shared" si="155"/>
        <v>2872.3168575200425</v>
      </c>
      <c r="W433" s="135">
        <v>2023</v>
      </c>
      <c r="X433" s="28" t="e">
        <f>+#REF!-'[1]Приложение №1'!$P508</f>
        <v>#REF!</v>
      </c>
      <c r="Z433" s="30">
        <f t="shared" si="154"/>
        <v>6575080.4900000002</v>
      </c>
      <c r="AA433" s="26">
        <v>5855280.1284377407</v>
      </c>
      <c r="AB433" s="26">
        <v>0</v>
      </c>
      <c r="AC433" s="26">
        <v>0</v>
      </c>
      <c r="AD433" s="26">
        <v>0</v>
      </c>
      <c r="AE433" s="26">
        <v>0</v>
      </c>
      <c r="AF433" s="26"/>
      <c r="AG433" s="26">
        <v>0</v>
      </c>
      <c r="AH433" s="26">
        <v>0</v>
      </c>
      <c r="AI433" s="26">
        <v>0</v>
      </c>
      <c r="AJ433" s="26">
        <v>0</v>
      </c>
      <c r="AK433" s="26">
        <v>0</v>
      </c>
      <c r="AL433" s="26">
        <v>0</v>
      </c>
      <c r="AM433" s="26">
        <v>526006.43920000002</v>
      </c>
      <c r="AN433" s="31">
        <v>65750.804900000003</v>
      </c>
      <c r="AO433" s="32">
        <v>128043.11746226001</v>
      </c>
      <c r="AP433" s="77">
        <f>+N433-'Приложение №2'!E433</f>
        <v>0</v>
      </c>
      <c r="AQ433" s="1">
        <v>893583.94</v>
      </c>
      <c r="AR433" s="1">
        <f>+(K433*10+L433*20)*12*0.85</f>
        <v>215689.19999999998</v>
      </c>
      <c r="AS433" s="1">
        <f>+(K433*10+L433*20)*12*30</f>
        <v>7612560</v>
      </c>
      <c r="AT433" s="28">
        <f t="shared" si="152"/>
        <v>-2738509.8940999992</v>
      </c>
      <c r="AU433" s="28">
        <f>+P433-'[6]Приложение №1'!$P411</f>
        <v>-1384853.583333333</v>
      </c>
      <c r="AV433" s="28">
        <f>+Q433-'[6]Приложение №1'!$Q411</f>
        <v>0</v>
      </c>
      <c r="AW433" s="28">
        <f>+R433-'[6]Приложение №1'!$R411</f>
        <v>0</v>
      </c>
      <c r="AX433" s="28">
        <f>+S433-'[6]Приложение №1'!$S411</f>
        <v>0</v>
      </c>
      <c r="AY433" s="28">
        <f>+T433-'[6]Приложение №1'!$T411</f>
        <v>0</v>
      </c>
    </row>
    <row r="434" spans="1:51" x14ac:dyDescent="0.25">
      <c r="A434" s="137">
        <f t="shared" si="157"/>
        <v>416</v>
      </c>
      <c r="B434" s="138">
        <f t="shared" si="157"/>
        <v>228</v>
      </c>
      <c r="C434" s="120" t="s">
        <v>46</v>
      </c>
      <c r="D434" s="120" t="s">
        <v>637</v>
      </c>
      <c r="E434" s="121">
        <v>1993</v>
      </c>
      <c r="F434" s="121">
        <v>2014</v>
      </c>
      <c r="G434" s="121" t="s">
        <v>43</v>
      </c>
      <c r="H434" s="121">
        <v>9</v>
      </c>
      <c r="I434" s="121">
        <v>1</v>
      </c>
      <c r="J434" s="107">
        <v>2553.4</v>
      </c>
      <c r="K434" s="107">
        <v>2128.8000000000002</v>
      </c>
      <c r="L434" s="107">
        <v>0</v>
      </c>
      <c r="M434" s="122">
        <v>78</v>
      </c>
      <c r="N434" s="133">
        <f t="shared" si="148"/>
        <v>21423269.711282879</v>
      </c>
      <c r="O434" s="107"/>
      <c r="P434" s="108"/>
      <c r="Q434" s="108"/>
      <c r="R434" s="108">
        <v>597799.18099999998</v>
      </c>
      <c r="S434" s="108">
        <f>+AS434</f>
        <v>7283384.3099999987</v>
      </c>
      <c r="T434" s="108">
        <f>+'Приложение №2'!E434-'Приложение №1'!P434-'Приложение №1'!Q434-'Приложение №1'!R434-'Приложение №1'!S434</f>
        <v>13542086.220282882</v>
      </c>
      <c r="U434" s="107">
        <f t="shared" si="155"/>
        <v>10063.54270541285</v>
      </c>
      <c r="V434" s="107">
        <f t="shared" si="155"/>
        <v>10063.54270541285</v>
      </c>
      <c r="W434" s="135">
        <v>2023</v>
      </c>
      <c r="X434" s="28" t="e">
        <f>+#REF!-'[1]Приложение №1'!$P1082</f>
        <v>#REF!</v>
      </c>
      <c r="Z434" s="30">
        <f t="shared" si="154"/>
        <v>44395710.680000007</v>
      </c>
      <c r="AA434" s="26">
        <v>4916492.8733411394</v>
      </c>
      <c r="AB434" s="26">
        <v>3374213.5460846401</v>
      </c>
      <c r="AC434" s="26">
        <v>2053944.7940944801</v>
      </c>
      <c r="AD434" s="26">
        <v>1853142.2046320401</v>
      </c>
      <c r="AE434" s="26">
        <v>0</v>
      </c>
      <c r="AF434" s="26"/>
      <c r="AG434" s="26">
        <v>236522.77397279997</v>
      </c>
      <c r="AH434" s="26">
        <v>0</v>
      </c>
      <c r="AI434" s="26">
        <v>0</v>
      </c>
      <c r="AJ434" s="26">
        <v>0</v>
      </c>
      <c r="AK434" s="26">
        <v>20821763.508175142</v>
      </c>
      <c r="AL434" s="26">
        <v>5475673.8714455394</v>
      </c>
      <c r="AM434" s="26">
        <v>4373014.9959000014</v>
      </c>
      <c r="AN434" s="31">
        <v>443957.10680000001</v>
      </c>
      <c r="AO434" s="32">
        <v>846985.00555422006</v>
      </c>
      <c r="AP434" s="77">
        <f>+N434-'Приложение №2'!E434</f>
        <v>0</v>
      </c>
      <c r="AQ434" s="1">
        <f>1103126.79-79353.74-714183.7328</f>
        <v>309589.31720000005</v>
      </c>
      <c r="AR434" s="1">
        <f>+(K434*13.29+L434*22.52)*12*0.85</f>
        <v>288575.87039999996</v>
      </c>
      <c r="AS434" s="1">
        <f>+(K434*13.29+L434*22.52)*12*30-300950.5-2600695.91</f>
        <v>7283384.3099999987</v>
      </c>
      <c r="AT434" s="28">
        <f t="shared" si="152"/>
        <v>0</v>
      </c>
      <c r="AU434" s="28">
        <f>+P434-'[6]Приложение №1'!$P412</f>
        <v>-1355261.3500000003</v>
      </c>
      <c r="AV434" s="28">
        <f>+Q434-'[6]Приложение №1'!$Q412</f>
        <v>0</v>
      </c>
      <c r="AW434" s="28">
        <f>+R434-'[6]Приложение №1'!$R412</f>
        <v>0</v>
      </c>
      <c r="AX434" s="28">
        <f>+S434-'[6]Приложение №1'!$S412</f>
        <v>0</v>
      </c>
      <c r="AY434" s="28">
        <f>+T434-'[6]Приложение №1'!$T412</f>
        <v>11607394.327103561</v>
      </c>
    </row>
    <row r="435" spans="1:51" x14ac:dyDescent="0.25">
      <c r="A435" s="137">
        <f t="shared" si="157"/>
        <v>417</v>
      </c>
      <c r="B435" s="138">
        <f t="shared" si="157"/>
        <v>229</v>
      </c>
      <c r="C435" s="120" t="s">
        <v>46</v>
      </c>
      <c r="D435" s="120" t="s">
        <v>656</v>
      </c>
      <c r="E435" s="121">
        <v>1993</v>
      </c>
      <c r="F435" s="121">
        <v>2016</v>
      </c>
      <c r="G435" s="121" t="s">
        <v>43</v>
      </c>
      <c r="H435" s="121">
        <v>9</v>
      </c>
      <c r="I435" s="121">
        <v>1</v>
      </c>
      <c r="J435" s="107">
        <v>2834.5</v>
      </c>
      <c r="K435" s="107">
        <v>1783.4</v>
      </c>
      <c r="L435" s="107">
        <v>0</v>
      </c>
      <c r="M435" s="122">
        <v>147</v>
      </c>
      <c r="N435" s="133">
        <f t="shared" si="148"/>
        <v>3195363.8498400003</v>
      </c>
      <c r="O435" s="107"/>
      <c r="P435" s="108"/>
      <c r="Q435" s="108"/>
      <c r="R435" s="108">
        <f>+AQ435+AR435</f>
        <v>779041.65720000002</v>
      </c>
      <c r="S435" s="108">
        <f>+'Приложение №2'!E435-'Приложение №1'!R435</f>
        <v>2416322.19264</v>
      </c>
      <c r="T435" s="108">
        <v>0</v>
      </c>
      <c r="U435" s="107">
        <f t="shared" si="155"/>
        <v>1791.7258325894359</v>
      </c>
      <c r="V435" s="107">
        <f t="shared" si="155"/>
        <v>1791.7258325894359</v>
      </c>
      <c r="W435" s="135">
        <v>2023</v>
      </c>
      <c r="X435" s="28" t="e">
        <f>+#REF!-'[1]Приложение №1'!$P1625</f>
        <v>#REF!</v>
      </c>
      <c r="Z435" s="30">
        <f t="shared" si="154"/>
        <v>3200641.1</v>
      </c>
      <c r="AA435" s="26">
        <v>0</v>
      </c>
      <c r="AB435" s="26">
        <v>0</v>
      </c>
      <c r="AC435" s="26">
        <v>0</v>
      </c>
      <c r="AD435" s="26">
        <v>0</v>
      </c>
      <c r="AE435" s="26">
        <v>0</v>
      </c>
      <c r="AF435" s="26"/>
      <c r="AG435" s="26">
        <v>0</v>
      </c>
      <c r="AH435" s="26">
        <v>0</v>
      </c>
      <c r="AI435" s="26">
        <v>2818932.6424140004</v>
      </c>
      <c r="AJ435" s="26">
        <v>0</v>
      </c>
      <c r="AK435" s="26">
        <v>0</v>
      </c>
      <c r="AL435" s="26">
        <v>0</v>
      </c>
      <c r="AM435" s="26">
        <v>288057.69900000002</v>
      </c>
      <c r="AN435" s="31">
        <v>32006.411</v>
      </c>
      <c r="AO435" s="32">
        <v>61644.347586000011</v>
      </c>
      <c r="AP435" s="77">
        <f>+N435-'Приложение №2'!E435</f>
        <v>0</v>
      </c>
      <c r="AQ435" s="1">
        <v>537287.52</v>
      </c>
      <c r="AR435" s="1">
        <f>+(K435*13.29+L435*22.52)*12*0.85</f>
        <v>241754.13719999997</v>
      </c>
      <c r="AS435" s="1">
        <f>+(K435*13.29+L435*22.52)*12*30</f>
        <v>8532498.959999999</v>
      </c>
      <c r="AT435" s="28">
        <f t="shared" si="152"/>
        <v>-6116176.767359999</v>
      </c>
      <c r="AU435" s="28">
        <f>+P435-'[6]Приложение №1'!$P413</f>
        <v>0</v>
      </c>
      <c r="AV435" s="28">
        <f>+Q435-'[6]Приложение №1'!$Q413</f>
        <v>0</v>
      </c>
      <c r="AW435" s="28">
        <f>+R435-'[6]Приложение №1'!$R413</f>
        <v>0</v>
      </c>
      <c r="AX435" s="28">
        <f>+S435-'[6]Приложение №1'!$S413</f>
        <v>0</v>
      </c>
      <c r="AY435" s="28">
        <f>+T435-'[6]Приложение №1'!$T413</f>
        <v>0</v>
      </c>
    </row>
    <row r="436" spans="1:51" x14ac:dyDescent="0.25">
      <c r="A436" s="137">
        <f t="shared" si="157"/>
        <v>418</v>
      </c>
      <c r="B436" s="138">
        <f t="shared" si="157"/>
        <v>230</v>
      </c>
      <c r="C436" s="120" t="s">
        <v>46</v>
      </c>
      <c r="D436" s="120" t="s">
        <v>638</v>
      </c>
      <c r="E436" s="121">
        <v>1972</v>
      </c>
      <c r="F436" s="121">
        <v>2013</v>
      </c>
      <c r="G436" s="121" t="s">
        <v>43</v>
      </c>
      <c r="H436" s="121">
        <v>4</v>
      </c>
      <c r="I436" s="121">
        <v>6</v>
      </c>
      <c r="J436" s="107">
        <v>4437.8999999999996</v>
      </c>
      <c r="K436" s="107">
        <v>4088.2</v>
      </c>
      <c r="L436" s="107">
        <v>0</v>
      </c>
      <c r="M436" s="122">
        <v>207</v>
      </c>
      <c r="N436" s="133">
        <f t="shared" si="148"/>
        <v>13125184.475528559</v>
      </c>
      <c r="O436" s="107"/>
      <c r="P436" s="108">
        <f>+'Приложение №2'!E436-'Приложение №1'!R436-'Приложение №1'!S436</f>
        <v>0</v>
      </c>
      <c r="Q436" s="108"/>
      <c r="R436" s="108">
        <f>+AQ436+AR436</f>
        <v>2349964.75</v>
      </c>
      <c r="S436" s="108">
        <f>+'Приложение №2'!E436-'Приложение №1'!R436</f>
        <v>10775219.725528559</v>
      </c>
      <c r="T436" s="108">
        <f>+'Приложение №2'!E436-'Приложение №1'!P436-'Приложение №1'!Q436-'Приложение №1'!R436-'Приложение №1'!S436</f>
        <v>0</v>
      </c>
      <c r="U436" s="107">
        <f t="shared" si="155"/>
        <v>3210.5044947724082</v>
      </c>
      <c r="V436" s="107">
        <f t="shared" si="155"/>
        <v>3210.5044947724082</v>
      </c>
      <c r="W436" s="135">
        <v>2023</v>
      </c>
      <c r="X436" s="28" t="e">
        <f>+#REF!-'[1]Приложение №1'!$P1456</f>
        <v>#REF!</v>
      </c>
      <c r="Z436" s="30">
        <f t="shared" si="154"/>
        <v>26371012.292399999</v>
      </c>
      <c r="AA436" s="26">
        <v>12305507</v>
      </c>
      <c r="AB436" s="26">
        <v>4288000.4889749996</v>
      </c>
      <c r="AC436" s="26">
        <v>4479954.2738714404</v>
      </c>
      <c r="AD436" s="26">
        <v>3127291</v>
      </c>
      <c r="AE436" s="26">
        <v>0</v>
      </c>
      <c r="AF436" s="26"/>
      <c r="AG436" s="26">
        <v>386031.94970675994</v>
      </c>
      <c r="AH436" s="26">
        <v>0</v>
      </c>
      <c r="AI436" s="26">
        <v>0</v>
      </c>
      <c r="AJ436" s="26">
        <v>0</v>
      </c>
      <c r="AK436" s="26">
        <v>0</v>
      </c>
      <c r="AL436" s="26">
        <v>0</v>
      </c>
      <c r="AM436" s="26">
        <v>1122564.2276999999</v>
      </c>
      <c r="AN436" s="31">
        <v>134247.94030000002</v>
      </c>
      <c r="AO436" s="32">
        <v>527415.41184680001</v>
      </c>
      <c r="AP436" s="77">
        <f>+N436-'Приложение №2'!E436</f>
        <v>0</v>
      </c>
      <c r="AQ436" s="1">
        <v>1932968.35</v>
      </c>
      <c r="AR436" s="1">
        <f t="shared" ref="AR436:AR442" si="158">+(K436*10+L436*20)*12*0.85</f>
        <v>416996.39999999997</v>
      </c>
      <c r="AS436" s="1">
        <f>+(K436*10+L436*20)*12*30</f>
        <v>14717520</v>
      </c>
      <c r="AT436" s="28">
        <f t="shared" si="152"/>
        <v>-3942300.2744714413</v>
      </c>
      <c r="AU436" s="28">
        <f>+P436-'[6]Приложение №1'!$P414</f>
        <v>0</v>
      </c>
      <c r="AV436" s="28">
        <f>+Q436-'[6]Приложение №1'!$Q414</f>
        <v>0</v>
      </c>
      <c r="AW436" s="28">
        <f>+R436-'[6]Приложение №1'!$R414</f>
        <v>0</v>
      </c>
      <c r="AX436" s="28">
        <f>+S436-'[6]Приложение №1'!$S414</f>
        <v>0</v>
      </c>
      <c r="AY436" s="28">
        <f>+T436-'[6]Приложение №1'!$T414</f>
        <v>0</v>
      </c>
    </row>
    <row r="437" spans="1:51" x14ac:dyDescent="0.25">
      <c r="A437" s="137">
        <f t="shared" si="157"/>
        <v>419</v>
      </c>
      <c r="B437" s="138">
        <f t="shared" si="157"/>
        <v>231</v>
      </c>
      <c r="C437" s="120" t="s">
        <v>57</v>
      </c>
      <c r="D437" s="120" t="s">
        <v>671</v>
      </c>
      <c r="E437" s="121">
        <v>1985</v>
      </c>
      <c r="F437" s="121">
        <v>1985</v>
      </c>
      <c r="G437" s="121" t="s">
        <v>43</v>
      </c>
      <c r="H437" s="121">
        <v>5</v>
      </c>
      <c r="I437" s="121">
        <v>4</v>
      </c>
      <c r="J437" s="107">
        <v>4957.5</v>
      </c>
      <c r="K437" s="107">
        <v>4305.3999999999996</v>
      </c>
      <c r="L437" s="107">
        <v>651.20000000000005</v>
      </c>
      <c r="M437" s="122">
        <v>166</v>
      </c>
      <c r="N437" s="133">
        <f t="shared" si="148"/>
        <v>19747257.494666997</v>
      </c>
      <c r="O437" s="107"/>
      <c r="P437" s="108">
        <f>+'Приложение №2'!E437-'Приложение №1'!R437-'Приложение №1'!S437</f>
        <v>0</v>
      </c>
      <c r="Q437" s="108"/>
      <c r="R437" s="108">
        <f>+AQ437+AR437</f>
        <v>2600649.54</v>
      </c>
      <c r="S437" s="108">
        <f>+'Приложение №2'!E437-'Приложение №1'!R437</f>
        <v>17146607.954666998</v>
      </c>
      <c r="T437" s="108">
        <f>+'Приложение №2'!E437-'Приложение №1'!P437-'Приложение №1'!Q437-'Приложение №1'!R437-'Приложение №1'!S437</f>
        <v>0</v>
      </c>
      <c r="U437" s="107">
        <f t="shared" si="155"/>
        <v>3984.0329045448493</v>
      </c>
      <c r="V437" s="107">
        <f t="shared" si="155"/>
        <v>3984.0329045448493</v>
      </c>
      <c r="W437" s="135">
        <v>2023</v>
      </c>
      <c r="X437" s="28" t="e">
        <f>+#REF!-'[1]Приложение №1'!$P1633</f>
        <v>#REF!</v>
      </c>
      <c r="Z437" s="30">
        <f t="shared" si="154"/>
        <v>19423335.669999994</v>
      </c>
      <c r="AA437" s="26">
        <v>12305784.620476618</v>
      </c>
      <c r="AB437" s="26">
        <v>4512564.0806433605</v>
      </c>
      <c r="AC437" s="26">
        <v>0</v>
      </c>
      <c r="AD437" s="26">
        <v>0</v>
      </c>
      <c r="AE437" s="26">
        <v>0</v>
      </c>
      <c r="AF437" s="26"/>
      <c r="AG437" s="26">
        <v>406248.53806487995</v>
      </c>
      <c r="AH437" s="26">
        <v>0</v>
      </c>
      <c r="AI437" s="26">
        <v>0</v>
      </c>
      <c r="AJ437" s="26">
        <v>0</v>
      </c>
      <c r="AK437" s="26">
        <v>0</v>
      </c>
      <c r="AL437" s="26">
        <v>0</v>
      </c>
      <c r="AM437" s="26">
        <v>1627838.0182</v>
      </c>
      <c r="AN437" s="31">
        <v>194233.35670000003</v>
      </c>
      <c r="AO437" s="32">
        <v>376667.05591514008</v>
      </c>
      <c r="AP437" s="77">
        <f>+N437-'Приложение №2'!E437</f>
        <v>0</v>
      </c>
      <c r="AQ437" s="1">
        <v>2028653.94</v>
      </c>
      <c r="AR437" s="1">
        <f t="shared" si="158"/>
        <v>571995.6</v>
      </c>
      <c r="AS437" s="1">
        <f>+(K437*10+L437*20)*12*30</f>
        <v>20188080</v>
      </c>
      <c r="AT437" s="28">
        <f t="shared" si="152"/>
        <v>-3041472.0453330018</v>
      </c>
      <c r="AU437" s="28">
        <f>+P437-'[6]Приложение №1'!$P415</f>
        <v>0</v>
      </c>
      <c r="AV437" s="28">
        <f>+Q437-'[6]Приложение №1'!$Q415</f>
        <v>0</v>
      </c>
      <c r="AW437" s="28">
        <f>+R437-'[6]Приложение №1'!$R415</f>
        <v>0</v>
      </c>
      <c r="AX437" s="28">
        <f>+S437-'[6]Приложение №1'!$S415</f>
        <v>0</v>
      </c>
      <c r="AY437" s="28">
        <f>+T437-'[6]Приложение №1'!$T415</f>
        <v>0</v>
      </c>
    </row>
    <row r="438" spans="1:51" x14ac:dyDescent="0.25">
      <c r="A438" s="137">
        <f t="shared" si="157"/>
        <v>420</v>
      </c>
      <c r="B438" s="138">
        <f t="shared" si="157"/>
        <v>232</v>
      </c>
      <c r="C438" s="120" t="s">
        <v>57</v>
      </c>
      <c r="D438" s="120" t="s">
        <v>672</v>
      </c>
      <c r="E438" s="121">
        <v>1988</v>
      </c>
      <c r="F438" s="121">
        <v>1988</v>
      </c>
      <c r="G438" s="121" t="s">
        <v>43</v>
      </c>
      <c r="H438" s="121">
        <v>5</v>
      </c>
      <c r="I438" s="121">
        <v>4</v>
      </c>
      <c r="J438" s="107">
        <v>5038.3999999999996</v>
      </c>
      <c r="K438" s="107">
        <v>3442.8</v>
      </c>
      <c r="L438" s="107">
        <v>1586</v>
      </c>
      <c r="M438" s="122">
        <v>156</v>
      </c>
      <c r="N438" s="133">
        <f t="shared" si="148"/>
        <v>24458262.938600004</v>
      </c>
      <c r="O438" s="107"/>
      <c r="P438" s="108">
        <f>+'Приложение №2'!E438-'Приложение №1'!R438-'Приложение №1'!S438</f>
        <v>7143822.512739202</v>
      </c>
      <c r="Q438" s="108"/>
      <c r="R438" s="108">
        <f>+AR438</f>
        <v>674709.6</v>
      </c>
      <c r="S438" s="108">
        <f>+AS438</f>
        <v>16639730.8258608</v>
      </c>
      <c r="T438" s="108">
        <f>+'Приложение №2'!E438-'Приложение №1'!P438-'Приложение №1'!Q438-'Приложение №1'!R438-'Приложение №1'!S438</f>
        <v>0</v>
      </c>
      <c r="U438" s="107">
        <f t="shared" si="155"/>
        <v>4863.6380326519256</v>
      </c>
      <c r="V438" s="107">
        <f t="shared" si="155"/>
        <v>4863.6380326519256</v>
      </c>
      <c r="W438" s="135">
        <v>2023</v>
      </c>
      <c r="X438" s="28" t="e">
        <f>+#REF!-'[1]Приложение №1'!$P1466</f>
        <v>#REF!</v>
      </c>
      <c r="Z438" s="30">
        <f t="shared" si="154"/>
        <v>50851543.909999996</v>
      </c>
      <c r="AA438" s="26">
        <v>12240570.226002298</v>
      </c>
      <c r="AB438" s="26">
        <v>4488649.7915120395</v>
      </c>
      <c r="AC438" s="26">
        <v>4689585.7163009401</v>
      </c>
      <c r="AD438" s="26">
        <v>0</v>
      </c>
      <c r="AE438" s="26">
        <v>0</v>
      </c>
      <c r="AF438" s="26"/>
      <c r="AG438" s="26">
        <v>404095.62569795997</v>
      </c>
      <c r="AH438" s="26">
        <v>0</v>
      </c>
      <c r="AI438" s="26">
        <v>23028460.340860799</v>
      </c>
      <c r="AJ438" s="26">
        <v>0</v>
      </c>
      <c r="AK438" s="26">
        <v>0</v>
      </c>
      <c r="AL438" s="26">
        <v>0</v>
      </c>
      <c r="AM438" s="26">
        <v>4510858.3295000009</v>
      </c>
      <c r="AN438" s="31">
        <v>508515.43910000008</v>
      </c>
      <c r="AO438" s="32">
        <v>980808.44102596026</v>
      </c>
      <c r="AP438" s="77">
        <f>+N438-'Приложение №2'!E438</f>
        <v>0</v>
      </c>
      <c r="AQ438" s="28">
        <f>2748459.05-R170</f>
        <v>-128443.95999999996</v>
      </c>
      <c r="AR438" s="1">
        <f t="shared" si="158"/>
        <v>674709.6</v>
      </c>
      <c r="AS438" s="1">
        <f>+(K438*10+L438*20)*12*30-S170</f>
        <v>16639730.8258608</v>
      </c>
      <c r="AT438" s="28">
        <f t="shared" si="152"/>
        <v>0</v>
      </c>
      <c r="AU438" s="28">
        <f>+P438-'[6]Приложение №1'!$P416</f>
        <v>0</v>
      </c>
      <c r="AV438" s="28">
        <f>+Q438-'[6]Приложение №1'!$Q416</f>
        <v>0</v>
      </c>
      <c r="AW438" s="28">
        <f>+R438-'[6]Приложение №1'!$R416</f>
        <v>0</v>
      </c>
      <c r="AX438" s="28">
        <f>+S438-'[6]Приложение №1'!$S416</f>
        <v>0</v>
      </c>
      <c r="AY438" s="28">
        <f>+T438-'[6]Приложение №1'!$T416</f>
        <v>0</v>
      </c>
    </row>
    <row r="439" spans="1:51" x14ac:dyDescent="0.25">
      <c r="A439" s="137">
        <f t="shared" si="157"/>
        <v>421</v>
      </c>
      <c r="B439" s="138">
        <f t="shared" si="157"/>
        <v>233</v>
      </c>
      <c r="C439" s="120" t="s">
        <v>57</v>
      </c>
      <c r="D439" s="120" t="s">
        <v>669</v>
      </c>
      <c r="E439" s="121">
        <v>1985</v>
      </c>
      <c r="F439" s="121">
        <v>1985</v>
      </c>
      <c r="G439" s="121" t="s">
        <v>43</v>
      </c>
      <c r="H439" s="121">
        <v>5</v>
      </c>
      <c r="I439" s="121">
        <v>1</v>
      </c>
      <c r="J439" s="107">
        <v>3093.6</v>
      </c>
      <c r="K439" s="107">
        <v>1867</v>
      </c>
      <c r="L439" s="107">
        <v>323</v>
      </c>
      <c r="M439" s="122">
        <v>98</v>
      </c>
      <c r="N439" s="133">
        <f t="shared" si="148"/>
        <v>6450583.4850394018</v>
      </c>
      <c r="O439" s="107"/>
      <c r="P439" s="108">
        <v>686514.50749999983</v>
      </c>
      <c r="Q439" s="108"/>
      <c r="R439" s="108">
        <f>+AQ439+AR439</f>
        <v>1268360.26</v>
      </c>
      <c r="S439" s="108">
        <f>+'Приложение №2'!E439-'Приложение №1'!P439-'Приложение №1'!Q439-'Приложение №1'!R439</f>
        <v>4495708.7175394017</v>
      </c>
      <c r="T439" s="108">
        <f>+'Приложение №2'!E439-'Приложение №1'!P439-'Приложение №1'!Q439-'Приложение №1'!R439-'Приложение №1'!S439</f>
        <v>0</v>
      </c>
      <c r="U439" s="107">
        <f t="shared" si="155"/>
        <v>2945.4719109768957</v>
      </c>
      <c r="V439" s="107">
        <f t="shared" si="155"/>
        <v>2945.4719109768957</v>
      </c>
      <c r="W439" s="135">
        <v>2023</v>
      </c>
      <c r="X439" s="28" t="e">
        <f>+#REF!-'[1]Приложение №1'!$P1470</f>
        <v>#REF!</v>
      </c>
      <c r="Z439" s="30">
        <f t="shared" si="154"/>
        <v>25777981.720000003</v>
      </c>
      <c r="AA439" s="26">
        <v>6939898.4786422197</v>
      </c>
      <c r="AB439" s="26">
        <v>2544879.30231024</v>
      </c>
      <c r="AC439" s="26">
        <v>0</v>
      </c>
      <c r="AD439" s="26">
        <v>0</v>
      </c>
      <c r="AE439" s="26">
        <v>0</v>
      </c>
      <c r="AF439" s="26"/>
      <c r="AG439" s="26">
        <v>229105.55551800001</v>
      </c>
      <c r="AH439" s="26">
        <v>0</v>
      </c>
      <c r="AI439" s="26">
        <v>13056187.249110602</v>
      </c>
      <c r="AJ439" s="26">
        <v>0</v>
      </c>
      <c r="AK439" s="26">
        <v>0</v>
      </c>
      <c r="AL439" s="26">
        <v>0</v>
      </c>
      <c r="AM439" s="26">
        <v>2252195.9907</v>
      </c>
      <c r="AN439" s="31">
        <v>257779.81719999999</v>
      </c>
      <c r="AO439" s="32">
        <v>497935.32651894004</v>
      </c>
      <c r="AP439" s="77">
        <f>+N439-'Приложение №2'!E439</f>
        <v>0</v>
      </c>
      <c r="AQ439" s="1">
        <v>1012034.26</v>
      </c>
      <c r="AR439" s="1">
        <f t="shared" si="158"/>
        <v>256326</v>
      </c>
      <c r="AS439" s="1">
        <f>+(K439*10+L439*20)*12*30</f>
        <v>9046800</v>
      </c>
      <c r="AT439" s="28">
        <f t="shared" si="152"/>
        <v>-4551091.2824605983</v>
      </c>
      <c r="AU439" s="28">
        <f>+P439-'[6]Приложение №1'!$P417</f>
        <v>0</v>
      </c>
      <c r="AV439" s="28">
        <f>+Q439-'[6]Приложение №1'!$Q417</f>
        <v>0</v>
      </c>
      <c r="AW439" s="28">
        <f>+R439-'[6]Приложение №1'!$R417</f>
        <v>0</v>
      </c>
      <c r="AX439" s="28">
        <f>+S439-'[6]Приложение №1'!$S417</f>
        <v>0</v>
      </c>
      <c r="AY439" s="28">
        <f>+T439-'[6]Приложение №1'!$T417</f>
        <v>0</v>
      </c>
    </row>
    <row r="440" spans="1:51" x14ac:dyDescent="0.25">
      <c r="A440" s="137">
        <f t="shared" si="157"/>
        <v>422</v>
      </c>
      <c r="B440" s="138">
        <f t="shared" si="157"/>
        <v>234</v>
      </c>
      <c r="C440" s="120" t="s">
        <v>57</v>
      </c>
      <c r="D440" s="120" t="s">
        <v>674</v>
      </c>
      <c r="E440" s="121">
        <v>1987</v>
      </c>
      <c r="F440" s="121">
        <v>1987</v>
      </c>
      <c r="G440" s="121" t="s">
        <v>43</v>
      </c>
      <c r="H440" s="121">
        <v>5</v>
      </c>
      <c r="I440" s="121">
        <v>1</v>
      </c>
      <c r="J440" s="107">
        <v>2928.7</v>
      </c>
      <c r="K440" s="107">
        <v>2372.1</v>
      </c>
      <c r="L440" s="107">
        <v>221.2</v>
      </c>
      <c r="M440" s="122">
        <v>125</v>
      </c>
      <c r="N440" s="133">
        <f t="shared" si="148"/>
        <v>16843607.011849999</v>
      </c>
      <c r="O440" s="107"/>
      <c r="P440" s="108">
        <v>3489956.9766666661</v>
      </c>
      <c r="Q440" s="108"/>
      <c r="R440" s="108">
        <f>+AR440</f>
        <v>287079</v>
      </c>
      <c r="S440" s="108">
        <f>+AS440</f>
        <v>10132200</v>
      </c>
      <c r="T440" s="108">
        <f>+'Приложение №2'!E440-'Приложение №1'!P440-'Приложение №1'!Q440-'Приложение №1'!R440-'Приложение №1'!S440</f>
        <v>2934371.0351833329</v>
      </c>
      <c r="U440" s="107">
        <f t="shared" ref="U440:V459" si="159">$N440/($K440+$L440)</f>
        <v>6495.0476272895539</v>
      </c>
      <c r="V440" s="107">
        <f t="shared" si="159"/>
        <v>6495.0476272895539</v>
      </c>
      <c r="W440" s="135">
        <v>2023</v>
      </c>
      <c r="X440" s="28" t="e">
        <f>+#REF!-'[1]Приложение №1'!$P1479</f>
        <v>#REF!</v>
      </c>
      <c r="Z440" s="30">
        <f t="shared" si="154"/>
        <v>25208513.880000003</v>
      </c>
      <c r="AA440" s="26">
        <v>6786587.4460183801</v>
      </c>
      <c r="AB440" s="26">
        <v>2488659.7441826407</v>
      </c>
      <c r="AC440" s="26">
        <v>0</v>
      </c>
      <c r="AD440" s="26">
        <v>0</v>
      </c>
      <c r="AE440" s="26">
        <v>0</v>
      </c>
      <c r="AF440" s="26"/>
      <c r="AG440" s="26">
        <v>224044.32360912001</v>
      </c>
      <c r="AH440" s="26">
        <v>0</v>
      </c>
      <c r="AI440" s="26">
        <v>12767759.748387001</v>
      </c>
      <c r="AJ440" s="26">
        <v>0</v>
      </c>
      <c r="AK440" s="26">
        <v>0</v>
      </c>
      <c r="AL440" s="26">
        <v>0</v>
      </c>
      <c r="AM440" s="26">
        <v>2202442.1663000002</v>
      </c>
      <c r="AN440" s="31">
        <v>252085.13879999999</v>
      </c>
      <c r="AO440" s="32">
        <v>486935.3127028601</v>
      </c>
      <c r="AP440" s="77">
        <f>+N440-'Приложение №2'!E440</f>
        <v>0</v>
      </c>
      <c r="AQ440" s="28">
        <f>1039812.33</f>
        <v>1039812.33</v>
      </c>
      <c r="AR440" s="1">
        <f t="shared" si="158"/>
        <v>287079</v>
      </c>
      <c r="AS440" s="1">
        <f>+(K440*10+L440*20)*12*30</f>
        <v>10132200</v>
      </c>
      <c r="AT440" s="28">
        <f t="shared" si="152"/>
        <v>0</v>
      </c>
      <c r="AU440" s="28">
        <f>+P440-'[6]Приложение №1'!$P418</f>
        <v>0</v>
      </c>
      <c r="AV440" s="28">
        <f>+Q440-'[6]Приложение №1'!$Q418</f>
        <v>0</v>
      </c>
      <c r="AW440" s="28">
        <f>+R440-'[6]Приложение №1'!$R418</f>
        <v>0</v>
      </c>
      <c r="AX440" s="28">
        <f>+S440-'[6]Приложение №1'!$S418</f>
        <v>0</v>
      </c>
      <c r="AY440" s="28">
        <f>+T440-'[6]Приложение №1'!$T418</f>
        <v>0</v>
      </c>
    </row>
    <row r="441" spans="1:51" x14ac:dyDescent="0.25">
      <c r="A441" s="137">
        <f t="shared" si="157"/>
        <v>423</v>
      </c>
      <c r="B441" s="138">
        <f t="shared" si="157"/>
        <v>235</v>
      </c>
      <c r="C441" s="120" t="s">
        <v>57</v>
      </c>
      <c r="D441" s="120" t="s">
        <v>675</v>
      </c>
      <c r="E441" s="121">
        <v>1987</v>
      </c>
      <c r="F441" s="121">
        <v>1987</v>
      </c>
      <c r="G441" s="121" t="s">
        <v>43</v>
      </c>
      <c r="H441" s="121">
        <v>5</v>
      </c>
      <c r="I441" s="121">
        <v>4</v>
      </c>
      <c r="J441" s="107">
        <v>4891.3999999999996</v>
      </c>
      <c r="K441" s="107">
        <v>4293.1000000000004</v>
      </c>
      <c r="L441" s="107">
        <v>598.29999999999995</v>
      </c>
      <c r="M441" s="122">
        <v>199</v>
      </c>
      <c r="N441" s="133">
        <f t="shared" si="148"/>
        <v>28815163.8424908</v>
      </c>
      <c r="O441" s="107"/>
      <c r="P441" s="108">
        <f>+'Приложение №2'!E441-'Приложение №1'!R441-'Приложение №1'!S441</f>
        <v>6483712.7524907999</v>
      </c>
      <c r="Q441" s="108"/>
      <c r="R441" s="108">
        <f>+AQ441+AR441</f>
        <v>2568531.09</v>
      </c>
      <c r="S441" s="108">
        <f>+AS441</f>
        <v>19762920</v>
      </c>
      <c r="T441" s="108">
        <f>+'Приложение №2'!E441-'Приложение №1'!P441-'Приложение №1'!Q441-'Приложение №1'!R441-'Приложение №1'!S441</f>
        <v>0</v>
      </c>
      <c r="U441" s="107">
        <f t="shared" si="159"/>
        <v>5890.9849618699755</v>
      </c>
      <c r="V441" s="107">
        <f t="shared" si="159"/>
        <v>5890.9849618699755</v>
      </c>
      <c r="W441" s="135">
        <v>2023</v>
      </c>
      <c r="X441" s="28" t="e">
        <f>+#REF!-'[1]Приложение №1'!$P1634</f>
        <v>#REF!</v>
      </c>
      <c r="Z441" s="30">
        <f t="shared" si="154"/>
        <v>19345683.869999997</v>
      </c>
      <c r="AA441" s="26">
        <v>12256587.796574939</v>
      </c>
      <c r="AB441" s="26">
        <v>4494523.4791594204</v>
      </c>
      <c r="AC441" s="26">
        <v>0</v>
      </c>
      <c r="AD441" s="26">
        <v>0</v>
      </c>
      <c r="AE441" s="26">
        <v>0</v>
      </c>
      <c r="AF441" s="26"/>
      <c r="AG441" s="26">
        <v>404624.41455659998</v>
      </c>
      <c r="AH441" s="26">
        <v>0</v>
      </c>
      <c r="AI441" s="26">
        <v>0</v>
      </c>
      <c r="AJ441" s="26">
        <v>0</v>
      </c>
      <c r="AK441" s="26">
        <v>0</v>
      </c>
      <c r="AL441" s="26">
        <v>0</v>
      </c>
      <c r="AM441" s="26">
        <v>1621330.1477000001</v>
      </c>
      <c r="AN441" s="31">
        <v>193456.83870000002</v>
      </c>
      <c r="AO441" s="32">
        <v>375161.19330903998</v>
      </c>
      <c r="AP441" s="77">
        <f>+N441-'Приложение №2'!E441</f>
        <v>0</v>
      </c>
      <c r="AQ441" s="1">
        <v>2008581.69</v>
      </c>
      <c r="AR441" s="1">
        <f t="shared" si="158"/>
        <v>559949.4</v>
      </c>
      <c r="AS441" s="1">
        <f>+(K441*10+L441*20)*12*30</f>
        <v>19762920</v>
      </c>
      <c r="AT441" s="28">
        <f t="shared" si="152"/>
        <v>0</v>
      </c>
      <c r="AU441" s="28">
        <f>+P441-'[6]Приложение №1'!$P419</f>
        <v>0</v>
      </c>
      <c r="AV441" s="28">
        <f>+Q441-'[6]Приложение №1'!$Q419</f>
        <v>0</v>
      </c>
      <c r="AW441" s="28">
        <f>+R441-'[6]Приложение №1'!$R419</f>
        <v>0</v>
      </c>
      <c r="AX441" s="28">
        <f>+S441-'[6]Приложение №1'!$S419</f>
        <v>0</v>
      </c>
      <c r="AY441" s="28">
        <f>+T441-'[6]Приложение №1'!$T419</f>
        <v>0</v>
      </c>
    </row>
    <row r="442" spans="1:51" x14ac:dyDescent="0.25">
      <c r="A442" s="137">
        <f t="shared" ref="A442:B457" si="160">+A441+1</f>
        <v>424</v>
      </c>
      <c r="B442" s="138">
        <f t="shared" si="160"/>
        <v>236</v>
      </c>
      <c r="C442" s="120" t="s">
        <v>57</v>
      </c>
      <c r="D442" s="120" t="s">
        <v>673</v>
      </c>
      <c r="E442" s="121">
        <v>1986</v>
      </c>
      <c r="F442" s="121">
        <v>1986</v>
      </c>
      <c r="G442" s="121" t="s">
        <v>43</v>
      </c>
      <c r="H442" s="121">
        <v>5</v>
      </c>
      <c r="I442" s="121">
        <v>4</v>
      </c>
      <c r="J442" s="107">
        <v>4691.8999999999996</v>
      </c>
      <c r="K442" s="107">
        <v>4321.1000000000004</v>
      </c>
      <c r="L442" s="107">
        <v>298</v>
      </c>
      <c r="M442" s="122">
        <v>195</v>
      </c>
      <c r="N442" s="133">
        <f t="shared" si="148"/>
        <v>17059045.641933002</v>
      </c>
      <c r="O442" s="107"/>
      <c r="P442" s="108">
        <v>5099425.17</v>
      </c>
      <c r="Q442" s="108"/>
      <c r="R442" s="108">
        <f>+AQ442+AR442</f>
        <v>1322918.1599999999</v>
      </c>
      <c r="S442" s="108">
        <f>+AS442</f>
        <v>6767397.514069479</v>
      </c>
      <c r="T442" s="108">
        <f>+'Приложение №2'!E442-'Приложение №1'!P442-'Приложение №1'!Q442-'Приложение №1'!R442-'Приложение №1'!S442</f>
        <v>3869304.7978635225</v>
      </c>
      <c r="U442" s="107">
        <f t="shared" si="159"/>
        <v>3693.1535671306101</v>
      </c>
      <c r="V442" s="107">
        <f t="shared" si="159"/>
        <v>3693.1535671306101</v>
      </c>
      <c r="W442" s="135">
        <v>2023</v>
      </c>
      <c r="X442" s="28" t="e">
        <f>+#REF!-'[1]Приложение №1'!$P1635</f>
        <v>#REF!</v>
      </c>
      <c r="Z442" s="30">
        <f t="shared" si="154"/>
        <v>19513628.469999999</v>
      </c>
      <c r="AA442" s="26">
        <v>12362990.22966462</v>
      </c>
      <c r="AB442" s="26">
        <v>4533541.53030576</v>
      </c>
      <c r="AC442" s="26">
        <v>0</v>
      </c>
      <c r="AD442" s="26">
        <v>0</v>
      </c>
      <c r="AE442" s="26">
        <v>0</v>
      </c>
      <c r="AF442" s="26"/>
      <c r="AG442" s="26">
        <v>408137.05600247998</v>
      </c>
      <c r="AH442" s="26">
        <v>0</v>
      </c>
      <c r="AI442" s="26">
        <v>0</v>
      </c>
      <c r="AJ442" s="26">
        <v>0</v>
      </c>
      <c r="AK442" s="26">
        <v>0</v>
      </c>
      <c r="AL442" s="26">
        <v>0</v>
      </c>
      <c r="AM442" s="26">
        <v>1635405.3101999999</v>
      </c>
      <c r="AN442" s="31">
        <v>195136.28469999999</v>
      </c>
      <c r="AO442" s="32">
        <v>378418.05912714003</v>
      </c>
      <c r="AP442" s="77">
        <f>+N442-'Приложение №2'!E442</f>
        <v>0</v>
      </c>
      <c r="AQ442" s="28">
        <f>1886055.9-R171</f>
        <v>821373.96</v>
      </c>
      <c r="AR442" s="1">
        <f t="shared" si="158"/>
        <v>501544.2</v>
      </c>
      <c r="AS442" s="1">
        <f>+(K442*10+L442*20)*12*30-S171</f>
        <v>6767397.514069479</v>
      </c>
      <c r="AT442" s="28">
        <f t="shared" si="152"/>
        <v>0</v>
      </c>
      <c r="AU442" s="28">
        <f>+P442-'[6]Приложение №1'!$P420</f>
        <v>-5030178.2581183314</v>
      </c>
      <c r="AV442" s="28">
        <f>+Q442-'[6]Приложение №1'!$Q420</f>
        <v>0</v>
      </c>
      <c r="AW442" s="28">
        <f>+R442-'[6]Приложение №1'!$R420</f>
        <v>-1064681.9400000002</v>
      </c>
      <c r="AX442" s="28">
        <f>+S442-'[6]Приложение №1'!$S420</f>
        <v>-10934162.485930521</v>
      </c>
      <c r="AY442" s="28">
        <f>+T442-'[6]Приложение №1'!$T420</f>
        <v>1514055.4140488524</v>
      </c>
    </row>
    <row r="443" spans="1:51" x14ac:dyDescent="0.25">
      <c r="A443" s="137">
        <f t="shared" si="160"/>
        <v>425</v>
      </c>
      <c r="B443" s="138">
        <f t="shared" si="160"/>
        <v>237</v>
      </c>
      <c r="C443" s="120" t="s">
        <v>58</v>
      </c>
      <c r="D443" s="120" t="s">
        <v>676</v>
      </c>
      <c r="E443" s="121">
        <v>2003</v>
      </c>
      <c r="F443" s="121">
        <v>2003</v>
      </c>
      <c r="G443" s="121" t="s">
        <v>43</v>
      </c>
      <c r="H443" s="121">
        <v>6</v>
      </c>
      <c r="I443" s="121">
        <v>2</v>
      </c>
      <c r="J443" s="107">
        <v>4628.5</v>
      </c>
      <c r="K443" s="107">
        <v>3639.6</v>
      </c>
      <c r="L443" s="107">
        <v>0</v>
      </c>
      <c r="M443" s="122">
        <v>142</v>
      </c>
      <c r="N443" s="133">
        <f t="shared" si="148"/>
        <v>22010479.830000002</v>
      </c>
      <c r="O443" s="107"/>
      <c r="P443" s="108">
        <v>886090.96180000121</v>
      </c>
      <c r="Q443" s="108"/>
      <c r="R443" s="108">
        <f>+AQ443+AR443</f>
        <v>2164436.5467999997</v>
      </c>
      <c r="S443" s="108">
        <f>+AS443</f>
        <v>17413302.239999998</v>
      </c>
      <c r="T443" s="108">
        <f>+'Приложение №2'!E443-'Приложение №1'!P443-'Приложение №1'!Q443-'Приложение №1'!R443-'Приложение №1'!S443</f>
        <v>1546650.0814000033</v>
      </c>
      <c r="U443" s="107">
        <f t="shared" si="159"/>
        <v>6047.4996785361036</v>
      </c>
      <c r="V443" s="107">
        <f t="shared" si="159"/>
        <v>6047.4996785361036</v>
      </c>
      <c r="W443" s="135">
        <v>2023</v>
      </c>
      <c r="X443" s="28" t="e">
        <f>+#REF!-'[1]Приложение №1'!$P1641</f>
        <v>#REF!</v>
      </c>
      <c r="Z443" s="30">
        <f t="shared" si="154"/>
        <v>22231583.710000001</v>
      </c>
      <c r="AA443" s="26">
        <v>0</v>
      </c>
      <c r="AB443" s="26">
        <v>0</v>
      </c>
      <c r="AC443" s="26">
        <v>0</v>
      </c>
      <c r="AD443" s="26">
        <v>0</v>
      </c>
      <c r="AE443" s="26">
        <v>0</v>
      </c>
      <c r="AF443" s="26"/>
      <c r="AG443" s="26">
        <v>0</v>
      </c>
      <c r="AH443" s="26">
        <v>0</v>
      </c>
      <c r="AI443" s="26">
        <v>19580245.036745403</v>
      </c>
      <c r="AJ443" s="26">
        <v>0</v>
      </c>
      <c r="AK443" s="26">
        <v>0</v>
      </c>
      <c r="AL443" s="26">
        <v>0</v>
      </c>
      <c r="AM443" s="26">
        <v>2000842.5338999999</v>
      </c>
      <c r="AN443" s="31">
        <v>222315.8371</v>
      </c>
      <c r="AO443" s="32">
        <v>428180.3022546001</v>
      </c>
      <c r="AP443" s="77">
        <f>+N443-'Приложение №2'!E443</f>
        <v>0</v>
      </c>
      <c r="AQ443" s="1">
        <v>1671059.65</v>
      </c>
      <c r="AR443" s="1">
        <f>+(K443*13.29+L443*22.52)*12*0.85</f>
        <v>493376.89679999993</v>
      </c>
      <c r="AS443" s="1">
        <f>+(K443*13.29+L443*22.52)*12*30</f>
        <v>17413302.239999998</v>
      </c>
      <c r="AT443" s="28">
        <f t="shared" si="152"/>
        <v>0</v>
      </c>
      <c r="AU443" s="28">
        <f>+P443-'[6]Приложение №1'!$P421</f>
        <v>0</v>
      </c>
      <c r="AV443" s="28">
        <f>+Q443-'[6]Приложение №1'!$Q421</f>
        <v>0</v>
      </c>
      <c r="AW443" s="28">
        <f>+R443-'[6]Приложение №1'!$R421</f>
        <v>0</v>
      </c>
      <c r="AX443" s="28">
        <f>+S443-'[6]Приложение №1'!$S421</f>
        <v>0</v>
      </c>
      <c r="AY443" s="28">
        <f>+T443-'[6]Приложение №1'!$T421</f>
        <v>0</v>
      </c>
    </row>
    <row r="444" spans="1:51" x14ac:dyDescent="0.25">
      <c r="A444" s="137">
        <f t="shared" si="160"/>
        <v>426</v>
      </c>
      <c r="B444" s="138">
        <f t="shared" si="160"/>
        <v>238</v>
      </c>
      <c r="C444" s="120" t="s">
        <v>58</v>
      </c>
      <c r="D444" s="120" t="s">
        <v>677</v>
      </c>
      <c r="E444" s="121">
        <v>1995</v>
      </c>
      <c r="F444" s="121">
        <v>2009</v>
      </c>
      <c r="G444" s="121" t="s">
        <v>43</v>
      </c>
      <c r="H444" s="121">
        <v>5</v>
      </c>
      <c r="I444" s="121">
        <v>2</v>
      </c>
      <c r="J444" s="107">
        <v>2134.1999999999998</v>
      </c>
      <c r="K444" s="107">
        <v>1911.8</v>
      </c>
      <c r="L444" s="107">
        <v>0</v>
      </c>
      <c r="M444" s="122">
        <v>75</v>
      </c>
      <c r="N444" s="133">
        <f t="shared" si="148"/>
        <v>3633489.3452695999</v>
      </c>
      <c r="O444" s="107"/>
      <c r="P444" s="108">
        <v>930573.32250000024</v>
      </c>
      <c r="Q444" s="108"/>
      <c r="R444" s="108">
        <f>+AQ444+AR444</f>
        <v>1062863.97</v>
      </c>
      <c r="S444" s="108">
        <f>+'Приложение №2'!E444-'Приложение №1'!P444-'Приложение №1'!Q444-'Приложение №1'!R444</f>
        <v>1640052.0527695997</v>
      </c>
      <c r="T444" s="108">
        <f>+'Приложение №2'!E444-'Приложение №1'!P444-'Приложение №1'!Q444-'Приложение №1'!R444-'Приложение №1'!S444</f>
        <v>0</v>
      </c>
      <c r="U444" s="107">
        <f t="shared" si="159"/>
        <v>1900.5593395070614</v>
      </c>
      <c r="V444" s="107">
        <f t="shared" si="159"/>
        <v>1900.5593395070614</v>
      </c>
      <c r="W444" s="135">
        <v>2023</v>
      </c>
      <c r="X444" s="28" t="e">
        <f>+#REF!-'[1]Приложение №1'!$P1486</f>
        <v>#REF!</v>
      </c>
      <c r="Z444" s="30">
        <f t="shared" si="154"/>
        <v>11647646.460000001</v>
      </c>
      <c r="AA444" s="26">
        <v>0</v>
      </c>
      <c r="AB444" s="26">
        <v>0</v>
      </c>
      <c r="AC444" s="26">
        <v>0</v>
      </c>
      <c r="AD444" s="26">
        <v>0</v>
      </c>
      <c r="AE444" s="26">
        <v>0</v>
      </c>
      <c r="AF444" s="26"/>
      <c r="AG444" s="26">
        <v>0</v>
      </c>
      <c r="AH444" s="26">
        <v>0</v>
      </c>
      <c r="AI444" s="26">
        <v>10258548.143180402</v>
      </c>
      <c r="AJ444" s="26">
        <v>0</v>
      </c>
      <c r="AK444" s="26">
        <v>0</v>
      </c>
      <c r="AL444" s="26">
        <v>0</v>
      </c>
      <c r="AM444" s="26">
        <v>1048288.1814</v>
      </c>
      <c r="AN444" s="31">
        <v>116476.46460000001</v>
      </c>
      <c r="AO444" s="32">
        <v>224333.67081960003</v>
      </c>
      <c r="AP444" s="77">
        <f>+N444-'Приложение №2'!E444</f>
        <v>0</v>
      </c>
      <c r="AQ444" s="1">
        <v>867860.37</v>
      </c>
      <c r="AR444" s="1">
        <f t="shared" ref="AR444:AR461" si="161">+(K444*10+L444*20)*12*0.85</f>
        <v>195003.6</v>
      </c>
      <c r="AS444" s="1">
        <f>+(K444*10+L444*20)*12*30</f>
        <v>6882480</v>
      </c>
      <c r="AT444" s="28">
        <f t="shared" si="152"/>
        <v>-5242427.9472304005</v>
      </c>
      <c r="AU444" s="28">
        <f>+P444-'[6]Приложение №1'!$P422</f>
        <v>0</v>
      </c>
      <c r="AV444" s="28">
        <f>+Q444-'[6]Приложение №1'!$Q422</f>
        <v>0</v>
      </c>
      <c r="AW444" s="28">
        <f>+R444-'[6]Приложение №1'!$R422</f>
        <v>0</v>
      </c>
      <c r="AX444" s="28">
        <f>+S444-'[6]Приложение №1'!$S422</f>
        <v>0</v>
      </c>
      <c r="AY444" s="28">
        <f>+T444-'[6]Приложение №1'!$T422</f>
        <v>0</v>
      </c>
    </row>
    <row r="445" spans="1:51" x14ac:dyDescent="0.25">
      <c r="A445" s="137">
        <f t="shared" si="160"/>
        <v>427</v>
      </c>
      <c r="B445" s="138">
        <f t="shared" si="160"/>
        <v>239</v>
      </c>
      <c r="C445" s="120" t="s">
        <v>66</v>
      </c>
      <c r="D445" s="120" t="s">
        <v>678</v>
      </c>
      <c r="E445" s="121">
        <v>1982</v>
      </c>
      <c r="F445" s="121">
        <v>1982</v>
      </c>
      <c r="G445" s="121" t="s">
        <v>43</v>
      </c>
      <c r="H445" s="121">
        <v>5</v>
      </c>
      <c r="I445" s="121">
        <v>1</v>
      </c>
      <c r="J445" s="107">
        <v>982.9</v>
      </c>
      <c r="K445" s="107">
        <v>982.9</v>
      </c>
      <c r="L445" s="107">
        <v>0</v>
      </c>
      <c r="M445" s="122">
        <v>23</v>
      </c>
      <c r="N445" s="133">
        <f t="shared" si="148"/>
        <v>1832846.1297638123</v>
      </c>
      <c r="O445" s="107"/>
      <c r="P445" s="108">
        <v>1398916.8396544</v>
      </c>
      <c r="Q445" s="108"/>
      <c r="R445" s="108">
        <f>+AR445</f>
        <v>100255.8</v>
      </c>
      <c r="S445" s="108">
        <v>0</v>
      </c>
      <c r="T445" s="108">
        <f>+'Приложение №2'!E445-'Приложение №1'!P445-'Приложение №1'!Q445-'Приложение №1'!R445-'Приложение №1'!S445</f>
        <v>333673.49010941229</v>
      </c>
      <c r="U445" s="107">
        <f t="shared" si="159"/>
        <v>1864.7330651783623</v>
      </c>
      <c r="V445" s="107">
        <f t="shared" si="159"/>
        <v>1864.7330651783623</v>
      </c>
      <c r="W445" s="135">
        <v>2023</v>
      </c>
      <c r="X445" s="28" t="e">
        <f>+#REF!-'[1]Приложение №1'!$P1857</f>
        <v>#REF!</v>
      </c>
      <c r="Z445" s="30">
        <f t="shared" si="154"/>
        <v>25846647.639999997</v>
      </c>
      <c r="AA445" s="26">
        <v>3015626.05896552</v>
      </c>
      <c r="AB445" s="26">
        <v>1381996.98965328</v>
      </c>
      <c r="AC445" s="26">
        <v>1398423.8962755599</v>
      </c>
      <c r="AD445" s="26">
        <v>910108.47884880006</v>
      </c>
      <c r="AE445" s="26">
        <v>0</v>
      </c>
      <c r="AF445" s="26"/>
      <c r="AG445" s="26">
        <v>91642.682540640002</v>
      </c>
      <c r="AH445" s="26">
        <v>0</v>
      </c>
      <c r="AI445" s="26">
        <v>7209302.2726031998</v>
      </c>
      <c r="AJ445" s="26">
        <v>0</v>
      </c>
      <c r="AK445" s="26">
        <v>3664064.3373272396</v>
      </c>
      <c r="AL445" s="26">
        <v>4963125.4813509602</v>
      </c>
      <c r="AM445" s="26">
        <v>2458924.8816</v>
      </c>
      <c r="AN445" s="31">
        <v>258466.47640000001</v>
      </c>
      <c r="AO445" s="32">
        <v>494966.08443480008</v>
      </c>
      <c r="AP445" s="77">
        <f>+N445-'Приложение №2'!E445</f>
        <v>0</v>
      </c>
      <c r="AQ445" s="28">
        <f>344430.27-R173</f>
        <v>34340.72000000003</v>
      </c>
      <c r="AR445" s="1">
        <f t="shared" si="161"/>
        <v>100255.8</v>
      </c>
      <c r="AS445" s="1">
        <f>+(K445*10+L445*20)*12*30-S173</f>
        <v>6523.44023618754</v>
      </c>
      <c r="AT445" s="28">
        <f t="shared" si="152"/>
        <v>-6523.44023618754</v>
      </c>
      <c r="AU445" s="28">
        <f>+P445-'[6]Приложение №1'!$P423</f>
        <v>0</v>
      </c>
      <c r="AV445" s="28">
        <f>+Q445-'[6]Приложение №1'!$Q423</f>
        <v>0</v>
      </c>
      <c r="AW445" s="28">
        <f>+R445-'[6]Приложение №1'!$R423</f>
        <v>0</v>
      </c>
      <c r="AX445" s="28">
        <f>+S445-'[6]Приложение №1'!$S423</f>
        <v>0</v>
      </c>
      <c r="AY445" s="28">
        <f>+T445-'[6]Приложение №1'!$T423</f>
        <v>0</v>
      </c>
    </row>
    <row r="446" spans="1:51" x14ac:dyDescent="0.25">
      <c r="A446" s="137">
        <f t="shared" si="160"/>
        <v>428</v>
      </c>
      <c r="B446" s="138">
        <f t="shared" si="160"/>
        <v>240</v>
      </c>
      <c r="C446" s="120" t="s">
        <v>66</v>
      </c>
      <c r="D446" s="120" t="s">
        <v>679</v>
      </c>
      <c r="E446" s="121">
        <v>1979</v>
      </c>
      <c r="F446" s="121">
        <v>2013</v>
      </c>
      <c r="G446" s="121" t="s">
        <v>43</v>
      </c>
      <c r="H446" s="121">
        <v>4</v>
      </c>
      <c r="I446" s="121">
        <v>2</v>
      </c>
      <c r="J446" s="107">
        <v>1304.3</v>
      </c>
      <c r="K446" s="107">
        <v>1304.3</v>
      </c>
      <c r="L446" s="107">
        <v>0</v>
      </c>
      <c r="M446" s="122">
        <v>47</v>
      </c>
      <c r="N446" s="133">
        <f t="shared" si="148"/>
        <v>8034419.9657033104</v>
      </c>
      <c r="O446" s="107"/>
      <c r="P446" s="108">
        <v>2682675.2085677697</v>
      </c>
      <c r="Q446" s="108"/>
      <c r="R446" s="108">
        <f>+AR446</f>
        <v>133038.6</v>
      </c>
      <c r="S446" s="108">
        <f>+AS446</f>
        <v>4695480</v>
      </c>
      <c r="T446" s="108">
        <f>+'Приложение №2'!E446-'Приложение №1'!P446-'Приложение №1'!Q446-'Приложение №1'!R446-'Приложение №1'!S446</f>
        <v>523226.15713554062</v>
      </c>
      <c r="U446" s="107">
        <f t="shared" si="159"/>
        <v>6159.9478384599488</v>
      </c>
      <c r="V446" s="107">
        <f t="shared" si="159"/>
        <v>6159.9478384599488</v>
      </c>
      <c r="W446" s="135">
        <v>2023</v>
      </c>
      <c r="X446" s="28" t="e">
        <f>+#REF!-'[1]Приложение №1'!$P1474</f>
        <v>#REF!</v>
      </c>
      <c r="Z446" s="30">
        <f t="shared" si="154"/>
        <v>28614187.700000003</v>
      </c>
      <c r="AA446" s="26">
        <v>0</v>
      </c>
      <c r="AB446" s="26">
        <v>0</v>
      </c>
      <c r="AC446" s="26">
        <v>1925825.0481519001</v>
      </c>
      <c r="AD446" s="26">
        <v>1253346.5063616</v>
      </c>
      <c r="AE446" s="26">
        <v>0</v>
      </c>
      <c r="AF446" s="26"/>
      <c r="AG446" s="26">
        <v>0</v>
      </c>
      <c r="AH446" s="26">
        <v>0</v>
      </c>
      <c r="AI446" s="26">
        <v>9928216.292715</v>
      </c>
      <c r="AJ446" s="26">
        <v>0</v>
      </c>
      <c r="AK446" s="26">
        <v>5045928.4281096598</v>
      </c>
      <c r="AL446" s="26">
        <v>6834917.0833343398</v>
      </c>
      <c r="AM446" s="26">
        <v>2793370.4105000002</v>
      </c>
      <c r="AN446" s="31">
        <v>286141.87699999998</v>
      </c>
      <c r="AO446" s="32">
        <v>546442.05382749997</v>
      </c>
      <c r="AP446" s="77">
        <f>+N446-'Приложение №2'!E446</f>
        <v>0</v>
      </c>
      <c r="AQ446" s="28">
        <f>505122.22</f>
        <v>505122.22</v>
      </c>
      <c r="AR446" s="1">
        <f t="shared" si="161"/>
        <v>133038.6</v>
      </c>
      <c r="AS446" s="1">
        <f>+(K446*10+L446*20)*12*30</f>
        <v>4695480</v>
      </c>
      <c r="AT446" s="28">
        <f t="shared" si="152"/>
        <v>0</v>
      </c>
      <c r="AU446" s="28">
        <f>+P446-'[6]Приложение №1'!$P424</f>
        <v>0</v>
      </c>
      <c r="AV446" s="28">
        <f>+Q446-'[6]Приложение №1'!$Q424</f>
        <v>0</v>
      </c>
      <c r="AW446" s="28">
        <f>+R446-'[6]Приложение №1'!$R424</f>
        <v>0</v>
      </c>
      <c r="AX446" s="28">
        <f>+S446-'[6]Приложение №1'!$S424</f>
        <v>0</v>
      </c>
      <c r="AY446" s="28">
        <f>+T446-'[6]Приложение №1'!$T424</f>
        <v>0</v>
      </c>
    </row>
    <row r="447" spans="1:51" x14ac:dyDescent="0.25">
      <c r="A447" s="137">
        <f t="shared" si="160"/>
        <v>429</v>
      </c>
      <c r="B447" s="138">
        <f t="shared" si="160"/>
        <v>241</v>
      </c>
      <c r="C447" s="120" t="s">
        <v>66</v>
      </c>
      <c r="D447" s="120" t="s">
        <v>681</v>
      </c>
      <c r="E447" s="121">
        <v>1979</v>
      </c>
      <c r="F447" s="121">
        <v>1979</v>
      </c>
      <c r="G447" s="121" t="s">
        <v>43</v>
      </c>
      <c r="H447" s="121">
        <v>4</v>
      </c>
      <c r="I447" s="121">
        <v>2</v>
      </c>
      <c r="J447" s="107">
        <v>1251.7</v>
      </c>
      <c r="K447" s="107">
        <v>1251.7</v>
      </c>
      <c r="L447" s="107">
        <v>0</v>
      </c>
      <c r="M447" s="122">
        <v>44</v>
      </c>
      <c r="N447" s="133">
        <f t="shared" si="148"/>
        <v>9688406.258375138</v>
      </c>
      <c r="O447" s="107"/>
      <c r="P447" s="108">
        <v>2843838.4141774648</v>
      </c>
      <c r="Q447" s="108"/>
      <c r="R447" s="108">
        <f>+AR447</f>
        <v>127673.4</v>
      </c>
      <c r="S447" s="108">
        <f>+AS447</f>
        <v>3216138.08</v>
      </c>
      <c r="T447" s="108">
        <f>+'Приложение №2'!E447-'Приложение №1'!P447-'Приложение №1'!Q447-'Приложение №1'!R447-'Приложение №1'!S447</f>
        <v>3500756.3641976733</v>
      </c>
      <c r="U447" s="107">
        <f t="shared" si="159"/>
        <v>7740.198336961842</v>
      </c>
      <c r="V447" s="107">
        <f t="shared" si="159"/>
        <v>7740.198336961842</v>
      </c>
      <c r="W447" s="135">
        <v>2023</v>
      </c>
      <c r="X447" s="28" t="e">
        <f>+#REF!-'[1]Приложение №1'!$P1191</f>
        <v>#REF!</v>
      </c>
      <c r="Z447" s="30">
        <f t="shared" si="154"/>
        <v>10704920.850000001</v>
      </c>
      <c r="AA447" s="26">
        <v>4162366.3452462004</v>
      </c>
      <c r="AB447" s="26">
        <v>1907523.5611068003</v>
      </c>
      <c r="AC447" s="26">
        <v>1930197.0630411</v>
      </c>
      <c r="AD447" s="26">
        <v>1256191.858278</v>
      </c>
      <c r="AE447" s="26">
        <v>0</v>
      </c>
      <c r="AF447" s="26"/>
      <c r="AG447" s="26">
        <v>126491.2857684</v>
      </c>
      <c r="AH447" s="26">
        <v>0</v>
      </c>
      <c r="AI447" s="26"/>
      <c r="AJ447" s="26">
        <v>0</v>
      </c>
      <c r="AK447" s="26"/>
      <c r="AL447" s="26"/>
      <c r="AM447" s="26">
        <v>1009919.3489999999</v>
      </c>
      <c r="AN447" s="31">
        <v>107049.20850000002</v>
      </c>
      <c r="AO447" s="32">
        <v>205182.17905950005</v>
      </c>
      <c r="AP447" s="77">
        <f>+N447-'Приложение №2'!E447</f>
        <v>0</v>
      </c>
      <c r="AQ447" s="28">
        <f>438075.68</f>
        <v>438075.68</v>
      </c>
      <c r="AR447" s="1">
        <f t="shared" si="161"/>
        <v>127673.4</v>
      </c>
      <c r="AS447" s="1">
        <f>+(K447*10+L447*20)*12*30-1289981.92</f>
        <v>3216138.08</v>
      </c>
      <c r="AT447" s="28">
        <f t="shared" si="152"/>
        <v>0</v>
      </c>
      <c r="AU447" s="28">
        <f>+P447-'[6]Приложение №1'!$P425</f>
        <v>0</v>
      </c>
      <c r="AV447" s="28">
        <f>+Q447-'[6]Приложение №1'!$Q425</f>
        <v>0</v>
      </c>
      <c r="AW447" s="28">
        <f>+R447-'[6]Приложение №1'!$R425</f>
        <v>0</v>
      </c>
      <c r="AX447" s="28">
        <f>+S447-'[6]Приложение №1'!$S425</f>
        <v>0</v>
      </c>
      <c r="AY447" s="28">
        <f>+T447-'[6]Приложение №1'!$T425</f>
        <v>0</v>
      </c>
    </row>
    <row r="448" spans="1:51" x14ac:dyDescent="0.25">
      <c r="A448" s="137">
        <f t="shared" si="160"/>
        <v>430</v>
      </c>
      <c r="B448" s="138">
        <f t="shared" si="160"/>
        <v>242</v>
      </c>
      <c r="C448" s="120" t="s">
        <v>66</v>
      </c>
      <c r="D448" s="120" t="s">
        <v>682</v>
      </c>
      <c r="E448" s="121">
        <v>1972</v>
      </c>
      <c r="F448" s="121">
        <v>1972</v>
      </c>
      <c r="G448" s="121" t="s">
        <v>43</v>
      </c>
      <c r="H448" s="121">
        <v>4</v>
      </c>
      <c r="I448" s="121">
        <v>2</v>
      </c>
      <c r="J448" s="107">
        <v>1471.5</v>
      </c>
      <c r="K448" s="107">
        <v>1257.9000000000001</v>
      </c>
      <c r="L448" s="107">
        <v>0</v>
      </c>
      <c r="M448" s="122">
        <v>37</v>
      </c>
      <c r="N448" s="133">
        <f t="shared" si="148"/>
        <v>6648750.9974127999</v>
      </c>
      <c r="O448" s="107"/>
      <c r="P448" s="108">
        <v>331357.31247093313</v>
      </c>
      <c r="Q448" s="108"/>
      <c r="R448" s="108">
        <f t="shared" ref="R448:R470" si="162">+AQ448+AR448</f>
        <v>466035.92</v>
      </c>
      <c r="S448" s="108">
        <f>+AS448</f>
        <v>4528440</v>
      </c>
      <c r="T448" s="108">
        <f>+'Приложение №2'!E448-'Приложение №1'!P448-'Приложение №1'!Q448-'Приложение №1'!R448-'Приложение №1'!S448</f>
        <v>1322917.7649418665</v>
      </c>
      <c r="U448" s="107">
        <f t="shared" si="159"/>
        <v>5285.5958322702909</v>
      </c>
      <c r="V448" s="107">
        <f t="shared" si="159"/>
        <v>5285.5958322702909</v>
      </c>
      <c r="W448" s="135">
        <v>2023</v>
      </c>
      <c r="X448" s="28" t="e">
        <f>+#REF!-'[1]Приложение №1'!$P859</f>
        <v>#REF!</v>
      </c>
      <c r="Z448" s="30">
        <f t="shared" si="154"/>
        <v>16159497.98</v>
      </c>
      <c r="AA448" s="26">
        <v>0</v>
      </c>
      <c r="AB448" s="26">
        <v>0</v>
      </c>
      <c r="AC448" s="26">
        <v>0</v>
      </c>
      <c r="AD448" s="26">
        <v>0</v>
      </c>
      <c r="AE448" s="26">
        <v>0</v>
      </c>
      <c r="AF448" s="26"/>
      <c r="AG448" s="26">
        <v>0</v>
      </c>
      <c r="AH448" s="26">
        <v>0</v>
      </c>
      <c r="AI448" s="26">
        <v>0</v>
      </c>
      <c r="AJ448" s="26">
        <v>0</v>
      </c>
      <c r="AK448" s="26">
        <v>5977461.9471230991</v>
      </c>
      <c r="AL448" s="26">
        <v>8096717.4565498196</v>
      </c>
      <c r="AM448" s="26">
        <v>1615949.7980000002</v>
      </c>
      <c r="AN448" s="31">
        <v>161594.9798</v>
      </c>
      <c r="AO448" s="32">
        <v>307773.79852707998</v>
      </c>
      <c r="AP448" s="77">
        <f>+N448-'Приложение №2'!E448</f>
        <v>0</v>
      </c>
      <c r="AQ448" s="1">
        <f>337730.12</f>
        <v>337730.12</v>
      </c>
      <c r="AR448" s="1">
        <f t="shared" si="161"/>
        <v>128305.8</v>
      </c>
      <c r="AS448" s="1">
        <f>+(K448*10+L448*20)*12*30</f>
        <v>4528440</v>
      </c>
      <c r="AT448" s="28">
        <f t="shared" si="152"/>
        <v>0</v>
      </c>
      <c r="AU448" s="28">
        <f>+P448-'[6]Приложение №1'!$P426</f>
        <v>0</v>
      </c>
      <c r="AV448" s="28">
        <f>+Q448-'[6]Приложение №1'!$Q426</f>
        <v>0</v>
      </c>
      <c r="AW448" s="28">
        <f>+R448-'[6]Приложение №1'!$R426</f>
        <v>0</v>
      </c>
      <c r="AX448" s="28">
        <f>+S448-'[6]Приложение №1'!$S426</f>
        <v>0</v>
      </c>
      <c r="AY448" s="28">
        <f>+T448-'[6]Приложение №1'!$T426</f>
        <v>0</v>
      </c>
    </row>
    <row r="449" spans="1:51" x14ac:dyDescent="0.25">
      <c r="A449" s="137">
        <f t="shared" si="160"/>
        <v>431</v>
      </c>
      <c r="B449" s="138">
        <f t="shared" si="160"/>
        <v>243</v>
      </c>
      <c r="C449" s="120" t="s">
        <v>66</v>
      </c>
      <c r="D449" s="120" t="s">
        <v>683</v>
      </c>
      <c r="E449" s="121">
        <v>1975</v>
      </c>
      <c r="F449" s="121">
        <v>2010</v>
      </c>
      <c r="G449" s="121" t="s">
        <v>43</v>
      </c>
      <c r="H449" s="121">
        <v>4</v>
      </c>
      <c r="I449" s="121">
        <v>2</v>
      </c>
      <c r="J449" s="107">
        <v>1415.4</v>
      </c>
      <c r="K449" s="107">
        <v>1415.4</v>
      </c>
      <c r="L449" s="107">
        <v>0</v>
      </c>
      <c r="M449" s="122">
        <v>39</v>
      </c>
      <c r="N449" s="133">
        <f t="shared" si="148"/>
        <v>9102569.4658067226</v>
      </c>
      <c r="O449" s="107"/>
      <c r="P449" s="108">
        <v>1386547.1137890664</v>
      </c>
      <c r="Q449" s="108"/>
      <c r="R449" s="108">
        <f t="shared" si="162"/>
        <v>231788.24</v>
      </c>
      <c r="S449" s="108">
        <f>+AS449</f>
        <v>4466725.7279000003</v>
      </c>
      <c r="T449" s="108">
        <f>+'Приложение №2'!E449-'Приложение №1'!P449-'Приложение №1'!Q449-'Приложение №1'!R449-'Приложение №1'!S449</f>
        <v>3017508.3841176555</v>
      </c>
      <c r="U449" s="107">
        <f t="shared" si="159"/>
        <v>6431.0933063492457</v>
      </c>
      <c r="V449" s="107">
        <f t="shared" si="159"/>
        <v>6431.0933063492457</v>
      </c>
      <c r="W449" s="135">
        <v>2023</v>
      </c>
      <c r="X449" s="28" t="e">
        <f>+#REF!-'[1]Приложение №1'!$P1245</f>
        <v>#REF!</v>
      </c>
      <c r="Z449" s="30">
        <f t="shared" si="154"/>
        <v>29462353.34</v>
      </c>
      <c r="AA449" s="26">
        <v>0</v>
      </c>
      <c r="AB449" s="26">
        <v>0</v>
      </c>
      <c r="AC449" s="26">
        <v>1982909.2719916198</v>
      </c>
      <c r="AD449" s="26">
        <v>1290497.4993876</v>
      </c>
      <c r="AE449" s="26">
        <v>0</v>
      </c>
      <c r="AF449" s="26"/>
      <c r="AG449" s="26">
        <v>0</v>
      </c>
      <c r="AH449" s="26">
        <v>0</v>
      </c>
      <c r="AI449" s="26">
        <v>10222502.889866399</v>
      </c>
      <c r="AJ449" s="26">
        <v>0</v>
      </c>
      <c r="AK449" s="26">
        <v>5195496.9927289803</v>
      </c>
      <c r="AL449" s="26">
        <v>7037513.8477249201</v>
      </c>
      <c r="AM449" s="26">
        <v>2876169.9234000002</v>
      </c>
      <c r="AN449" s="31">
        <v>294623.53340000001</v>
      </c>
      <c r="AO449" s="32">
        <v>562639.38150048</v>
      </c>
      <c r="AP449" s="77">
        <f>+N449-'Приложение №2'!E449</f>
        <v>0</v>
      </c>
      <c r="AQ449" s="1">
        <f>559628.74-472211.3</f>
        <v>87417.44</v>
      </c>
      <c r="AR449" s="1">
        <f t="shared" si="161"/>
        <v>144370.79999999999</v>
      </c>
      <c r="AS449" s="1">
        <f>+(K449*10+L449*20)*12*30-628714.2721</f>
        <v>4466725.7279000003</v>
      </c>
      <c r="AT449" s="28">
        <f t="shared" si="152"/>
        <v>0</v>
      </c>
      <c r="AU449" s="28">
        <f>+P449-'[6]Приложение №1'!$P427</f>
        <v>0</v>
      </c>
      <c r="AV449" s="28">
        <f>+Q449-'[6]Приложение №1'!$Q427</f>
        <v>0</v>
      </c>
      <c r="AW449" s="28">
        <f>+R449-'[6]Приложение №1'!$R427</f>
        <v>0</v>
      </c>
      <c r="AX449" s="28">
        <f>+S449-'[6]Приложение №1'!$S427</f>
        <v>0</v>
      </c>
      <c r="AY449" s="28">
        <f>+T449-'[6]Приложение №1'!$T427</f>
        <v>0</v>
      </c>
    </row>
    <row r="450" spans="1:51" x14ac:dyDescent="0.25">
      <c r="A450" s="137">
        <f t="shared" si="160"/>
        <v>432</v>
      </c>
      <c r="B450" s="138">
        <f t="shared" si="160"/>
        <v>244</v>
      </c>
      <c r="C450" s="120" t="s">
        <v>66</v>
      </c>
      <c r="D450" s="120" t="s">
        <v>680</v>
      </c>
      <c r="E450" s="121">
        <v>1989</v>
      </c>
      <c r="F450" s="121">
        <v>2013</v>
      </c>
      <c r="G450" s="121" t="s">
        <v>43</v>
      </c>
      <c r="H450" s="121">
        <v>5</v>
      </c>
      <c r="I450" s="121">
        <v>3</v>
      </c>
      <c r="J450" s="107">
        <v>2867.1</v>
      </c>
      <c r="K450" s="107">
        <v>2862</v>
      </c>
      <c r="L450" s="107">
        <v>0</v>
      </c>
      <c r="M450" s="122">
        <v>82</v>
      </c>
      <c r="N450" s="133">
        <f t="shared" si="148"/>
        <v>7717731.9717803607</v>
      </c>
      <c r="O450" s="107"/>
      <c r="P450" s="108">
        <f>6571877.81-2206681.24</f>
        <v>4365196.5699999994</v>
      </c>
      <c r="Q450" s="108"/>
      <c r="R450" s="108">
        <f>+AQ450+AR450</f>
        <v>1145854.1600000001</v>
      </c>
      <c r="S450" s="108"/>
      <c r="T450" s="108">
        <f>+'Приложение №2'!E450-'Приложение №1'!P450-'Приложение №1'!Q450-'Приложение №1'!R450-'Приложение №1'!S450</f>
        <v>2206681.2417803612</v>
      </c>
      <c r="U450" s="107">
        <f t="shared" si="159"/>
        <v>2696.6219328373027</v>
      </c>
      <c r="V450" s="107">
        <f t="shared" si="159"/>
        <v>2696.6219328373027</v>
      </c>
      <c r="W450" s="135">
        <v>2023</v>
      </c>
      <c r="X450" s="28" t="e">
        <f>+#REF!-'[1]Приложение №1'!$P1492</f>
        <v>#REF!</v>
      </c>
      <c r="Z450" s="30">
        <f t="shared" si="154"/>
        <v>8541004.8900000006</v>
      </c>
      <c r="AA450" s="26">
        <v>0</v>
      </c>
      <c r="AB450" s="26">
        <v>0</v>
      </c>
      <c r="AC450" s="26">
        <v>4445034.5403198004</v>
      </c>
      <c r="AD450" s="26">
        <v>2892873.6360392398</v>
      </c>
      <c r="AE450" s="26">
        <v>0</v>
      </c>
      <c r="AF450" s="26"/>
      <c r="AG450" s="26">
        <v>0</v>
      </c>
      <c r="AH450" s="26">
        <v>0</v>
      </c>
      <c r="AI450" s="26">
        <v>0</v>
      </c>
      <c r="AJ450" s="26">
        <v>0</v>
      </c>
      <c r="AK450" s="26">
        <v>0</v>
      </c>
      <c r="AL450" s="26">
        <v>0</v>
      </c>
      <c r="AM450" s="26">
        <v>957221.47470000014</v>
      </c>
      <c r="AN450" s="31">
        <v>85410.048900000009</v>
      </c>
      <c r="AO450" s="32">
        <v>160465.19004096001</v>
      </c>
      <c r="AP450" s="77">
        <f>+N450-'Приложение №2'!E450</f>
        <v>0</v>
      </c>
      <c r="AQ450" s="1">
        <v>853930.16</v>
      </c>
      <c r="AR450" s="1">
        <f t="shared" si="161"/>
        <v>291924</v>
      </c>
      <c r="AS450" s="1">
        <f>+(K450*10+L450*20)*12*30</f>
        <v>10303200</v>
      </c>
      <c r="AT450" s="28">
        <f t="shared" si="152"/>
        <v>-10303200</v>
      </c>
      <c r="AU450" s="28">
        <f>+P450-'[6]Приложение №1'!$P428</f>
        <v>-2206681.2417803612</v>
      </c>
      <c r="AV450" s="28">
        <f>+Q450-'[6]Приложение №1'!$Q428</f>
        <v>0</v>
      </c>
      <c r="AW450" s="28">
        <f>+R450-'[6]Приложение №1'!$R428</f>
        <v>0</v>
      </c>
      <c r="AX450" s="28">
        <f>+S450-'[6]Приложение №1'!$S428</f>
        <v>-24236349.119999997</v>
      </c>
      <c r="AY450" s="28">
        <f>+T450-'[6]Приложение №1'!$T428</f>
        <v>-26590178.171470962</v>
      </c>
    </row>
    <row r="451" spans="1:51" x14ac:dyDescent="0.25">
      <c r="A451" s="137">
        <f t="shared" si="160"/>
        <v>433</v>
      </c>
      <c r="B451" s="138">
        <f t="shared" si="160"/>
        <v>245</v>
      </c>
      <c r="C451" s="120" t="s">
        <v>66</v>
      </c>
      <c r="D451" s="120" t="s">
        <v>684</v>
      </c>
      <c r="E451" s="121">
        <v>1971</v>
      </c>
      <c r="F451" s="121">
        <v>2012</v>
      </c>
      <c r="G451" s="121" t="s">
        <v>43</v>
      </c>
      <c r="H451" s="121">
        <v>4</v>
      </c>
      <c r="I451" s="121">
        <v>4</v>
      </c>
      <c r="J451" s="107">
        <v>2748.3</v>
      </c>
      <c r="K451" s="107">
        <v>2738.3</v>
      </c>
      <c r="L451" s="107">
        <v>0</v>
      </c>
      <c r="M451" s="122">
        <v>105</v>
      </c>
      <c r="N451" s="133">
        <f t="shared" si="148"/>
        <v>6161823.34667484</v>
      </c>
      <c r="O451" s="107"/>
      <c r="P451" s="108">
        <v>3797418.9970000004</v>
      </c>
      <c r="Q451" s="108"/>
      <c r="R451" s="108">
        <f t="shared" si="162"/>
        <v>1250766.44</v>
      </c>
      <c r="S451" s="108">
        <f>+'Приложение №2'!E451-'Приложение №1'!R451-P451</f>
        <v>1113637.9096748391</v>
      </c>
      <c r="T451" s="108">
        <f>+'Приложение №2'!E451-'Приложение №1'!P451-'Приложение №1'!Q451-'Приложение №1'!R451-'Приложение №1'!S451</f>
        <v>0</v>
      </c>
      <c r="U451" s="107">
        <f t="shared" si="159"/>
        <v>2250.2367697749842</v>
      </c>
      <c r="V451" s="107">
        <f t="shared" si="159"/>
        <v>2250.2367697749842</v>
      </c>
      <c r="W451" s="135">
        <v>2023</v>
      </c>
      <c r="X451" s="28" t="e">
        <f>+#REF!-'[1]Приложение №1'!$P1105</f>
        <v>#REF!</v>
      </c>
      <c r="Z451" s="30">
        <f t="shared" ref="Z451:Z480" si="163">SUM(AA451:AO451)</f>
        <v>62662210.079999991</v>
      </c>
      <c r="AA451" s="26">
        <v>0</v>
      </c>
      <c r="AB451" s="26">
        <v>0</v>
      </c>
      <c r="AC451" s="26">
        <v>4217364.3079906795</v>
      </c>
      <c r="AD451" s="26">
        <v>2744703.5403370801</v>
      </c>
      <c r="AE451" s="26">
        <v>0</v>
      </c>
      <c r="AF451" s="26"/>
      <c r="AG451" s="26">
        <v>0</v>
      </c>
      <c r="AH451" s="26">
        <v>0</v>
      </c>
      <c r="AI451" s="26">
        <v>21741801.005597401</v>
      </c>
      <c r="AJ451" s="26">
        <v>0</v>
      </c>
      <c r="AK451" s="26">
        <v>11050078.731239939</v>
      </c>
      <c r="AL451" s="26">
        <v>14967785.027242739</v>
      </c>
      <c r="AM451" s="26">
        <v>6117201.9047999997</v>
      </c>
      <c r="AN451" s="31">
        <v>626622.10080000001</v>
      </c>
      <c r="AO451" s="32">
        <v>1196653.4619921602</v>
      </c>
      <c r="AP451" s="77">
        <f>+N451-'Приложение №2'!E451</f>
        <v>0</v>
      </c>
      <c r="AQ451" s="1">
        <v>971459.84</v>
      </c>
      <c r="AR451" s="1">
        <f t="shared" si="161"/>
        <v>279306.59999999998</v>
      </c>
      <c r="AS451" s="1">
        <f>+(K451*10+L451*20)*12*30</f>
        <v>9857880</v>
      </c>
      <c r="AT451" s="28">
        <f t="shared" si="152"/>
        <v>-8744242.0903251618</v>
      </c>
      <c r="AU451" s="28">
        <f>+P451-'[6]Приложение №1'!$P429</f>
        <v>0</v>
      </c>
      <c r="AV451" s="28">
        <f>+Q451-'[6]Приложение №1'!$Q429</f>
        <v>0</v>
      </c>
      <c r="AW451" s="28">
        <f>+R451-'[6]Приложение №1'!$R429</f>
        <v>0</v>
      </c>
      <c r="AX451" s="28">
        <f>+S451-'[6]Приложение №1'!$S429</f>
        <v>0</v>
      </c>
      <c r="AY451" s="28">
        <f>+T451-'[6]Приложение №1'!$T429</f>
        <v>0</v>
      </c>
    </row>
    <row r="452" spans="1:51" x14ac:dyDescent="0.25">
      <c r="A452" s="137">
        <f t="shared" si="160"/>
        <v>434</v>
      </c>
      <c r="B452" s="138">
        <f t="shared" si="160"/>
        <v>246</v>
      </c>
      <c r="C452" s="120" t="s">
        <v>66</v>
      </c>
      <c r="D452" s="120" t="s">
        <v>685</v>
      </c>
      <c r="E452" s="121">
        <v>1981</v>
      </c>
      <c r="F452" s="121">
        <v>1981</v>
      </c>
      <c r="G452" s="121" t="s">
        <v>43</v>
      </c>
      <c r="H452" s="121">
        <v>4</v>
      </c>
      <c r="I452" s="121">
        <v>2</v>
      </c>
      <c r="J452" s="107">
        <v>1312.5</v>
      </c>
      <c r="K452" s="107">
        <v>1312.5</v>
      </c>
      <c r="L452" s="107">
        <v>0</v>
      </c>
      <c r="M452" s="122">
        <v>60</v>
      </c>
      <c r="N452" s="133">
        <f t="shared" si="148"/>
        <v>8194296.4237568006</v>
      </c>
      <c r="O452" s="107"/>
      <c r="P452" s="108">
        <v>1276378.0712522666</v>
      </c>
      <c r="Q452" s="108"/>
      <c r="R452" s="108">
        <f t="shared" si="162"/>
        <v>169987.72999999998</v>
      </c>
      <c r="S452" s="108">
        <f>+AS452</f>
        <v>4469610.4400000004</v>
      </c>
      <c r="T452" s="108">
        <f>+'Приложение №2'!E452-'Приложение №1'!P452-'Приложение №1'!Q452-'Приложение №1'!R452-'Приложение №1'!S452</f>
        <v>2278320.1825045338</v>
      </c>
      <c r="U452" s="107">
        <f t="shared" si="159"/>
        <v>6243.2734657194669</v>
      </c>
      <c r="V452" s="107">
        <f t="shared" si="159"/>
        <v>6243.2734657194669</v>
      </c>
      <c r="W452" s="135">
        <v>2023</v>
      </c>
      <c r="X452" s="28" t="e">
        <f>+#REF!-'[1]Приложение №1'!$P1675</f>
        <v>#REF!</v>
      </c>
      <c r="Z452" s="30">
        <f t="shared" si="163"/>
        <v>36563550.32</v>
      </c>
      <c r="AA452" s="26">
        <v>4266007.5956097599</v>
      </c>
      <c r="AB452" s="26">
        <v>1955020.1317046401</v>
      </c>
      <c r="AC452" s="26">
        <v>1978258.1947312797</v>
      </c>
      <c r="AD452" s="26">
        <v>1287470.5310543999</v>
      </c>
      <c r="AE452" s="26">
        <v>0</v>
      </c>
      <c r="AF452" s="26"/>
      <c r="AG452" s="26">
        <v>129640.86798431998</v>
      </c>
      <c r="AH452" s="26">
        <v>0</v>
      </c>
      <c r="AI452" s="26">
        <v>10198525.1661216</v>
      </c>
      <c r="AJ452" s="26">
        <v>0</v>
      </c>
      <c r="AK452" s="26">
        <v>5183310.5259751193</v>
      </c>
      <c r="AL452" s="26">
        <v>7021006.7784964805</v>
      </c>
      <c r="AM452" s="26">
        <v>3478479.1008000001</v>
      </c>
      <c r="AN452" s="31">
        <v>365635.50320000004</v>
      </c>
      <c r="AO452" s="32">
        <v>700195.92432240013</v>
      </c>
      <c r="AP452" s="77">
        <f>+N452-'Приложение №2'!E452</f>
        <v>0</v>
      </c>
      <c r="AQ452" s="1">
        <f>461712.25-425599.52</f>
        <v>36112.729999999981</v>
      </c>
      <c r="AR452" s="1">
        <f t="shared" si="161"/>
        <v>133875</v>
      </c>
      <c r="AS452" s="1">
        <f>+(K452*10+L452*20)*12*30-255389.56</f>
        <v>4469610.4400000004</v>
      </c>
      <c r="AT452" s="28">
        <f t="shared" si="152"/>
        <v>0</v>
      </c>
      <c r="AU452" s="28">
        <f>+P452-'[6]Приложение №1'!$P430</f>
        <v>0</v>
      </c>
      <c r="AV452" s="28">
        <f>+Q452-'[6]Приложение №1'!$Q430</f>
        <v>0</v>
      </c>
      <c r="AW452" s="28">
        <f>+R452-'[6]Приложение №1'!$R430</f>
        <v>0</v>
      </c>
      <c r="AX452" s="28">
        <f>+S452-'[6]Приложение №1'!$S430</f>
        <v>0</v>
      </c>
      <c r="AY452" s="28">
        <f>+T452-'[6]Приложение №1'!$T430</f>
        <v>0</v>
      </c>
    </row>
    <row r="453" spans="1:51" x14ac:dyDescent="0.25">
      <c r="A453" s="137">
        <f t="shared" si="160"/>
        <v>435</v>
      </c>
      <c r="B453" s="138">
        <f t="shared" si="160"/>
        <v>247</v>
      </c>
      <c r="C453" s="120" t="s">
        <v>59</v>
      </c>
      <c r="D453" s="120" t="s">
        <v>686</v>
      </c>
      <c r="E453" s="121">
        <v>1989</v>
      </c>
      <c r="F453" s="121">
        <v>2013</v>
      </c>
      <c r="G453" s="121" t="s">
        <v>43</v>
      </c>
      <c r="H453" s="121">
        <v>4</v>
      </c>
      <c r="I453" s="121">
        <v>2</v>
      </c>
      <c r="J453" s="107">
        <v>1529.1</v>
      </c>
      <c r="K453" s="107">
        <v>1348.1</v>
      </c>
      <c r="L453" s="107">
        <v>0</v>
      </c>
      <c r="M453" s="122">
        <v>46</v>
      </c>
      <c r="N453" s="133">
        <f t="shared" si="148"/>
        <v>7441099.7124260003</v>
      </c>
      <c r="O453" s="107"/>
      <c r="P453" s="108">
        <v>1104159.1966666665</v>
      </c>
      <c r="Q453" s="108"/>
      <c r="R453" s="108">
        <f t="shared" si="162"/>
        <v>716576.24</v>
      </c>
      <c r="S453" s="108">
        <f>+AS453</f>
        <v>4853160</v>
      </c>
      <c r="T453" s="108">
        <f>+'Приложение №2'!E453-'Приложение №1'!P453-'Приложение №1'!Q453-'Приложение №1'!R453-'Приложение №1'!S453</f>
        <v>767204.27575933374</v>
      </c>
      <c r="U453" s="107">
        <f t="shared" si="159"/>
        <v>5519.6941713715605</v>
      </c>
      <c r="V453" s="107">
        <f t="shared" si="159"/>
        <v>5519.6941713715605</v>
      </c>
      <c r="W453" s="135">
        <v>2023</v>
      </c>
      <c r="X453" s="28" t="e">
        <f>+#REF!-'[1]Приложение №1'!$P1679</f>
        <v>#REF!</v>
      </c>
      <c r="Z453" s="30">
        <f t="shared" si="163"/>
        <v>12006150.48</v>
      </c>
      <c r="AA453" s="26">
        <v>2778320.4092007005</v>
      </c>
      <c r="AB453" s="26">
        <v>1283573.09968482</v>
      </c>
      <c r="AC453" s="26">
        <v>0</v>
      </c>
      <c r="AD453" s="26">
        <v>0</v>
      </c>
      <c r="AE453" s="26">
        <v>0</v>
      </c>
      <c r="AF453" s="26"/>
      <c r="AG453" s="26">
        <v>0</v>
      </c>
      <c r="AH453" s="26">
        <v>0</v>
      </c>
      <c r="AI453" s="26">
        <v>6528512.2887180001</v>
      </c>
      <c r="AJ453" s="26">
        <v>0</v>
      </c>
      <c r="AK453" s="26">
        <v>0</v>
      </c>
      <c r="AL453" s="26">
        <v>0</v>
      </c>
      <c r="AM453" s="26">
        <v>1064092.452</v>
      </c>
      <c r="AN453" s="31">
        <v>120061.50480000001</v>
      </c>
      <c r="AO453" s="32">
        <v>231590.72559648004</v>
      </c>
      <c r="AP453" s="77">
        <f>+N453-'Приложение №2'!E453</f>
        <v>0</v>
      </c>
      <c r="AQ453" s="1">
        <v>579070.04</v>
      </c>
      <c r="AR453" s="1">
        <f t="shared" si="161"/>
        <v>137506.19999999998</v>
      </c>
      <c r="AS453" s="1">
        <f>+(K453*10+L453*20)*12*30</f>
        <v>4853160</v>
      </c>
      <c r="AT453" s="28">
        <f t="shared" si="152"/>
        <v>0</v>
      </c>
      <c r="AU453" s="28">
        <f>+P453-'[6]Приложение №1'!$P431</f>
        <v>0</v>
      </c>
      <c r="AV453" s="28">
        <f>+Q453-'[6]Приложение №1'!$Q431</f>
        <v>0</v>
      </c>
      <c r="AW453" s="28">
        <f>+R453-'[6]Приложение №1'!$R431</f>
        <v>0</v>
      </c>
      <c r="AX453" s="28">
        <f>+S453-'[6]Приложение №1'!$S431</f>
        <v>0</v>
      </c>
      <c r="AY453" s="28">
        <f>+T453-'[6]Приложение №1'!$T431</f>
        <v>0</v>
      </c>
    </row>
    <row r="454" spans="1:51" x14ac:dyDescent="0.25">
      <c r="A454" s="137">
        <f t="shared" si="160"/>
        <v>436</v>
      </c>
      <c r="B454" s="138">
        <f t="shared" si="160"/>
        <v>248</v>
      </c>
      <c r="C454" s="120" t="s">
        <v>59</v>
      </c>
      <c r="D454" s="120" t="s">
        <v>687</v>
      </c>
      <c r="E454" s="121">
        <v>1989</v>
      </c>
      <c r="F454" s="121">
        <v>2013</v>
      </c>
      <c r="G454" s="121" t="s">
        <v>43</v>
      </c>
      <c r="H454" s="121">
        <v>4</v>
      </c>
      <c r="I454" s="121">
        <v>1</v>
      </c>
      <c r="J454" s="107">
        <v>875.7</v>
      </c>
      <c r="K454" s="107">
        <v>808.7</v>
      </c>
      <c r="L454" s="107">
        <v>67</v>
      </c>
      <c r="M454" s="122">
        <v>23</v>
      </c>
      <c r="N454" s="133">
        <f t="shared" si="148"/>
        <v>3577560.5733999996</v>
      </c>
      <c r="O454" s="107"/>
      <c r="P454" s="108"/>
      <c r="Q454" s="108"/>
      <c r="R454" s="108">
        <f t="shared" si="162"/>
        <v>495536.14</v>
      </c>
      <c r="S454" s="108">
        <f>+'Приложение №2'!E454-'Приложение №1'!R454</f>
        <v>3082024.4333999995</v>
      </c>
      <c r="T454" s="108">
        <v>5.8207660913467407E-11</v>
      </c>
      <c r="U454" s="107">
        <f t="shared" si="159"/>
        <v>4085.3723574283426</v>
      </c>
      <c r="V454" s="107">
        <f t="shared" si="159"/>
        <v>4085.3723574283426</v>
      </c>
      <c r="W454" s="135">
        <v>2023</v>
      </c>
      <c r="X454" s="28" t="e">
        <f>+#REF!-'[1]Приложение №1'!$P1680</f>
        <v>#REF!</v>
      </c>
      <c r="Z454" s="30">
        <f t="shared" si="163"/>
        <v>3689249.02</v>
      </c>
      <c r="AA454" s="26">
        <v>1648298.3059179001</v>
      </c>
      <c r="AB454" s="26">
        <v>761507.33362662012</v>
      </c>
      <c r="AC454" s="26">
        <v>771439.24014654011</v>
      </c>
      <c r="AD454" s="26">
        <v>0</v>
      </c>
      <c r="AE454" s="26">
        <v>0</v>
      </c>
      <c r="AF454" s="26"/>
      <c r="AG454" s="26">
        <v>75038.982825239989</v>
      </c>
      <c r="AH454" s="26">
        <v>0</v>
      </c>
      <c r="AI454" s="26">
        <v>0</v>
      </c>
      <c r="AJ454" s="26">
        <v>0</v>
      </c>
      <c r="AK454" s="26">
        <v>0</v>
      </c>
      <c r="AL454" s="26">
        <v>0</v>
      </c>
      <c r="AM454" s="26">
        <v>324864.33429999999</v>
      </c>
      <c r="AN454" s="31">
        <v>36892.490199999993</v>
      </c>
      <c r="AO454" s="32">
        <v>71208.332983699991</v>
      </c>
      <c r="AP454" s="77">
        <f>+N454-'Приложение №2'!E454</f>
        <v>0</v>
      </c>
      <c r="AQ454" s="1">
        <v>399380.74</v>
      </c>
      <c r="AR454" s="1">
        <f t="shared" si="161"/>
        <v>96155.4</v>
      </c>
      <c r="AS454" s="1">
        <f>+(K454*10+L454*20)*12*30</f>
        <v>3393720</v>
      </c>
      <c r="AT454" s="28">
        <f t="shared" si="152"/>
        <v>-311695.56660000049</v>
      </c>
      <c r="AU454" s="28">
        <f>+P454-'[6]Приложение №1'!$P432</f>
        <v>0</v>
      </c>
      <c r="AV454" s="28">
        <f>+Q454-'[6]Приложение №1'!$Q432</f>
        <v>0</v>
      </c>
      <c r="AW454" s="28">
        <f>+R454-'[6]Приложение №1'!$R432</f>
        <v>0</v>
      </c>
      <c r="AX454" s="28">
        <f>+S454-'[6]Приложение №1'!$S432</f>
        <v>0</v>
      </c>
      <c r="AY454" s="28">
        <f>+T454-'[6]Приложение №1'!$T432</f>
        <v>0</v>
      </c>
    </row>
    <row r="455" spans="1:51" x14ac:dyDescent="0.25">
      <c r="A455" s="137">
        <f t="shared" si="160"/>
        <v>437</v>
      </c>
      <c r="B455" s="138">
        <f t="shared" si="160"/>
        <v>249</v>
      </c>
      <c r="C455" s="120" t="s">
        <v>59</v>
      </c>
      <c r="D455" s="120" t="s">
        <v>688</v>
      </c>
      <c r="E455" s="121">
        <v>1992</v>
      </c>
      <c r="F455" s="121">
        <v>2013</v>
      </c>
      <c r="G455" s="121" t="s">
        <v>43</v>
      </c>
      <c r="H455" s="121">
        <v>5</v>
      </c>
      <c r="I455" s="121">
        <v>3</v>
      </c>
      <c r="J455" s="107">
        <v>3334.6</v>
      </c>
      <c r="K455" s="107">
        <v>2949.9</v>
      </c>
      <c r="L455" s="107">
        <v>0</v>
      </c>
      <c r="M455" s="122">
        <v>91</v>
      </c>
      <c r="N455" s="133">
        <f t="shared" si="148"/>
        <v>17965449.162177999</v>
      </c>
      <c r="O455" s="107"/>
      <c r="P455" s="108">
        <v>3312889.3466666671</v>
      </c>
      <c r="Q455" s="108"/>
      <c r="R455" s="108">
        <f t="shared" si="162"/>
        <v>1493518.79</v>
      </c>
      <c r="S455" s="108">
        <f>+AS455</f>
        <v>10619640</v>
      </c>
      <c r="T455" s="108">
        <f>+'Приложение №2'!E455-'Приложение №1'!P455-'Приложение №1'!Q455-'Приложение №1'!R455-'Приложение №1'!S455</f>
        <v>2539401.0255113319</v>
      </c>
      <c r="U455" s="107">
        <f t="shared" si="159"/>
        <v>6090.1892139319971</v>
      </c>
      <c r="V455" s="107">
        <f t="shared" si="159"/>
        <v>6090.1892139319971</v>
      </c>
      <c r="W455" s="135">
        <v>2023</v>
      </c>
      <c r="X455" s="28" t="e">
        <f>+#REF!-'[1]Приложение №1'!$P1681</f>
        <v>#REF!</v>
      </c>
      <c r="Z455" s="30">
        <f t="shared" si="163"/>
        <v>24232773.930000003</v>
      </c>
      <c r="AA455" s="26">
        <v>6144661.3698833995</v>
      </c>
      <c r="AB455" s="26">
        <v>2838809.3808026402</v>
      </c>
      <c r="AC455" s="26">
        <v>2875834.3669440001</v>
      </c>
      <c r="AD455" s="26">
        <v>1857721.65669048</v>
      </c>
      <c r="AE455" s="26">
        <v>0</v>
      </c>
      <c r="AF455" s="26"/>
      <c r="AG455" s="26">
        <v>0</v>
      </c>
      <c r="AH455" s="26">
        <v>0</v>
      </c>
      <c r="AI455" s="26">
        <v>0</v>
      </c>
      <c r="AJ455" s="26">
        <v>0</v>
      </c>
      <c r="AK455" s="26">
        <v>7458847.8699054606</v>
      </c>
      <c r="AL455" s="26">
        <v>0</v>
      </c>
      <c r="AM455" s="26">
        <v>2351498.0564000001</v>
      </c>
      <c r="AN455" s="31">
        <v>242327.73930000002</v>
      </c>
      <c r="AO455" s="32">
        <v>463073.49007401994</v>
      </c>
      <c r="AP455" s="77">
        <f>+N455-'Приложение №2'!E455</f>
        <v>0</v>
      </c>
      <c r="AQ455" s="1">
        <v>1192628.99</v>
      </c>
      <c r="AR455" s="1">
        <f t="shared" si="161"/>
        <v>300889.8</v>
      </c>
      <c r="AS455" s="1">
        <f>+(K455*10+L455*20)*12*30</f>
        <v>10619640</v>
      </c>
      <c r="AT455" s="28">
        <f t="shared" si="152"/>
        <v>0</v>
      </c>
      <c r="AU455" s="28">
        <f>+P455-'[6]Приложение №1'!$P433</f>
        <v>0</v>
      </c>
      <c r="AV455" s="28">
        <f>+Q455-'[6]Приложение №1'!$Q433</f>
        <v>0</v>
      </c>
      <c r="AW455" s="28">
        <f>+R455-'[6]Приложение №1'!$R433</f>
        <v>0</v>
      </c>
      <c r="AX455" s="28">
        <f>+S455-'[6]Приложение №1'!$S433</f>
        <v>0</v>
      </c>
      <c r="AY455" s="28">
        <f>+T455-'[6]Приложение №1'!$T433</f>
        <v>0</v>
      </c>
    </row>
    <row r="456" spans="1:51" x14ac:dyDescent="0.25">
      <c r="A456" s="137">
        <f t="shared" si="160"/>
        <v>438</v>
      </c>
      <c r="B456" s="138">
        <f t="shared" si="160"/>
        <v>250</v>
      </c>
      <c r="C456" s="120" t="s">
        <v>59</v>
      </c>
      <c r="D456" s="120" t="s">
        <v>689</v>
      </c>
      <c r="E456" s="121">
        <v>1993</v>
      </c>
      <c r="F456" s="121">
        <v>2013</v>
      </c>
      <c r="G456" s="121" t="s">
        <v>43</v>
      </c>
      <c r="H456" s="121">
        <v>4</v>
      </c>
      <c r="I456" s="121">
        <v>2</v>
      </c>
      <c r="J456" s="107">
        <v>1957.1</v>
      </c>
      <c r="K456" s="107">
        <v>1782.2</v>
      </c>
      <c r="L456" s="107">
        <v>0</v>
      </c>
      <c r="M456" s="122">
        <v>51</v>
      </c>
      <c r="N456" s="133">
        <f t="shared" si="148"/>
        <v>7768881.3499999996</v>
      </c>
      <c r="O456" s="107"/>
      <c r="P456" s="108">
        <f>+'Приложение №2'!E456-'Приложение №1'!R456-'Приложение №1'!S456</f>
        <v>489303.72999999952</v>
      </c>
      <c r="Q456" s="108"/>
      <c r="R456" s="108">
        <f t="shared" si="162"/>
        <v>863657.62</v>
      </c>
      <c r="S456" s="108">
        <f>+AS456</f>
        <v>6415920</v>
      </c>
      <c r="T456" s="108">
        <f>+'Приложение №2'!E456-'Приложение №1'!P456-'Приложение №1'!Q456-'Приложение №1'!R456-'Приложение №1'!S456</f>
        <v>0</v>
      </c>
      <c r="U456" s="107">
        <f t="shared" si="159"/>
        <v>4359.1523678599478</v>
      </c>
      <c r="V456" s="107">
        <f t="shared" si="159"/>
        <v>4359.1523678599478</v>
      </c>
      <c r="W456" s="135">
        <v>2023</v>
      </c>
      <c r="X456" s="28" t="e">
        <f>+#REF!-'[1]Приложение №1'!$P1251</f>
        <v>#REF!</v>
      </c>
      <c r="Z456" s="30">
        <f t="shared" si="163"/>
        <v>9192230.629999999</v>
      </c>
      <c r="AA456" s="26">
        <v>3604821.641694</v>
      </c>
      <c r="AB456" s="26">
        <v>1665413.416611</v>
      </c>
      <c r="AC456" s="26">
        <v>1687134.4693795198</v>
      </c>
      <c r="AD456" s="26">
        <v>1089849.3568830001</v>
      </c>
      <c r="AE456" s="26">
        <v>0</v>
      </c>
      <c r="AF456" s="26"/>
      <c r="AG456" s="26">
        <v>0</v>
      </c>
      <c r="AH456" s="26">
        <v>0</v>
      </c>
      <c r="AI456" s="26">
        <v>0</v>
      </c>
      <c r="AJ456" s="26">
        <v>0</v>
      </c>
      <c r="AK456" s="26">
        <v>0</v>
      </c>
      <c r="AL456" s="26">
        <v>0</v>
      </c>
      <c r="AM456" s="26">
        <v>877113.06050000002</v>
      </c>
      <c r="AN456" s="31">
        <v>91922.306299999997</v>
      </c>
      <c r="AO456" s="32">
        <v>175976.37863247999</v>
      </c>
      <c r="AP456" s="77">
        <f>+N456-'Приложение №2'!E456</f>
        <v>0</v>
      </c>
      <c r="AQ456" s="1">
        <v>681873.22</v>
      </c>
      <c r="AR456" s="1">
        <f t="shared" si="161"/>
        <v>181784.4</v>
      </c>
      <c r="AS456" s="1">
        <f>+(K456*10+L456*20)*12*30</f>
        <v>6415920</v>
      </c>
      <c r="AT456" s="28">
        <f t="shared" si="152"/>
        <v>0</v>
      </c>
      <c r="AU456" s="28">
        <f>+P456-'[6]Приложение №1'!$P434</f>
        <v>0</v>
      </c>
      <c r="AV456" s="28">
        <f>+Q456-'[6]Приложение №1'!$Q434</f>
        <v>0</v>
      </c>
      <c r="AW456" s="28">
        <f>+R456-'[6]Приложение №1'!$R434</f>
        <v>0</v>
      </c>
      <c r="AX456" s="28">
        <f>+S456-'[6]Приложение №1'!$S434</f>
        <v>0</v>
      </c>
      <c r="AY456" s="28">
        <f>+T456-'[6]Приложение №1'!$T434</f>
        <v>0</v>
      </c>
    </row>
    <row r="457" spans="1:51" x14ac:dyDescent="0.25">
      <c r="A457" s="137">
        <f t="shared" si="160"/>
        <v>439</v>
      </c>
      <c r="B457" s="138">
        <f t="shared" si="160"/>
        <v>251</v>
      </c>
      <c r="C457" s="120" t="s">
        <v>59</v>
      </c>
      <c r="D457" s="120" t="s">
        <v>690</v>
      </c>
      <c r="E457" s="121">
        <v>1995</v>
      </c>
      <c r="F457" s="121">
        <v>2013</v>
      </c>
      <c r="G457" s="121" t="s">
        <v>43</v>
      </c>
      <c r="H457" s="121">
        <v>5</v>
      </c>
      <c r="I457" s="121">
        <v>3</v>
      </c>
      <c r="J457" s="107">
        <v>3373.2</v>
      </c>
      <c r="K457" s="107">
        <v>2966.3</v>
      </c>
      <c r="L457" s="107">
        <v>0</v>
      </c>
      <c r="M457" s="122">
        <v>107</v>
      </c>
      <c r="N457" s="133">
        <f t="shared" si="148"/>
        <v>10164042.109999999</v>
      </c>
      <c r="O457" s="107"/>
      <c r="P457" s="108"/>
      <c r="Q457" s="108"/>
      <c r="R457" s="108">
        <f t="shared" si="162"/>
        <v>1643881.3900000001</v>
      </c>
      <c r="S457" s="108">
        <f>+'Приложение №2'!E457-'Приложение №1'!R457</f>
        <v>8520160.7199999988</v>
      </c>
      <c r="T457" s="108">
        <v>0</v>
      </c>
      <c r="U457" s="107">
        <f t="shared" si="159"/>
        <v>3426.505110744024</v>
      </c>
      <c r="V457" s="107">
        <f t="shared" si="159"/>
        <v>3426.505110744024</v>
      </c>
      <c r="W457" s="135">
        <v>2023</v>
      </c>
      <c r="X457" s="28" t="e">
        <f>+#REF!-'[1]Приложение №1'!$P1252</f>
        <v>#REF!</v>
      </c>
      <c r="Z457" s="30">
        <f t="shared" si="163"/>
        <v>12550430.99</v>
      </c>
      <c r="AA457" s="26">
        <v>6235881.2519148607</v>
      </c>
      <c r="AB457" s="26">
        <v>2880952.6065108599</v>
      </c>
      <c r="AC457" s="26">
        <v>0</v>
      </c>
      <c r="AD457" s="26">
        <v>1885300.26106884</v>
      </c>
      <c r="AE457" s="26">
        <v>0</v>
      </c>
      <c r="AF457" s="26"/>
      <c r="AG457" s="26">
        <v>0</v>
      </c>
      <c r="AH457" s="26">
        <v>0</v>
      </c>
      <c r="AI457" s="26">
        <v>0</v>
      </c>
      <c r="AJ457" s="26">
        <v>0</v>
      </c>
      <c r="AK457" s="26">
        <v>0</v>
      </c>
      <c r="AL457" s="26">
        <v>0</v>
      </c>
      <c r="AM457" s="26">
        <v>1182198.1705</v>
      </c>
      <c r="AN457" s="31">
        <v>125504.30989999999</v>
      </c>
      <c r="AO457" s="32">
        <v>240594.39010543999</v>
      </c>
      <c r="AP457" s="77">
        <f>+N457-'Приложение №2'!E457</f>
        <v>0</v>
      </c>
      <c r="AQ457" s="1">
        <v>1341318.79</v>
      </c>
      <c r="AR457" s="1">
        <f t="shared" si="161"/>
        <v>302562.59999999998</v>
      </c>
      <c r="AS457" s="1">
        <f>+(K457*10+L457*20)*12*30</f>
        <v>10678680</v>
      </c>
      <c r="AT457" s="28">
        <f t="shared" si="152"/>
        <v>-2158519.2800000012</v>
      </c>
      <c r="AU457" s="28">
        <f>+P457-'[6]Приложение №1'!$P435</f>
        <v>0</v>
      </c>
      <c r="AV457" s="28">
        <f>+Q457-'[6]Приложение №1'!$Q435</f>
        <v>0</v>
      </c>
      <c r="AW457" s="28">
        <f>+R457-'[6]Приложение №1'!$R435</f>
        <v>0</v>
      </c>
      <c r="AX457" s="28">
        <f>+S457-'[6]Приложение №1'!$S435</f>
        <v>0</v>
      </c>
      <c r="AY457" s="28">
        <f>+T457-'[6]Приложение №1'!$T435</f>
        <v>0</v>
      </c>
    </row>
    <row r="458" spans="1:51" x14ac:dyDescent="0.25">
      <c r="A458" s="137">
        <f t="shared" ref="A458:B473" si="164">+A457+1</f>
        <v>440</v>
      </c>
      <c r="B458" s="138">
        <f t="shared" si="164"/>
        <v>252</v>
      </c>
      <c r="C458" s="120" t="s">
        <v>59</v>
      </c>
      <c r="D458" s="120" t="s">
        <v>691</v>
      </c>
      <c r="E458" s="121">
        <v>1988</v>
      </c>
      <c r="F458" s="121">
        <v>2013</v>
      </c>
      <c r="G458" s="121" t="s">
        <v>43</v>
      </c>
      <c r="H458" s="121">
        <v>3</v>
      </c>
      <c r="I458" s="121">
        <v>3</v>
      </c>
      <c r="J458" s="107">
        <v>1390.3</v>
      </c>
      <c r="K458" s="107">
        <v>1293.32</v>
      </c>
      <c r="L458" s="107">
        <v>0</v>
      </c>
      <c r="M458" s="122">
        <v>45</v>
      </c>
      <c r="N458" s="133">
        <f t="shared" si="148"/>
        <v>9321568.8579660002</v>
      </c>
      <c r="O458" s="107"/>
      <c r="P458" s="108">
        <v>3324827.2333333329</v>
      </c>
      <c r="Q458" s="108"/>
      <c r="R458" s="108">
        <f t="shared" si="162"/>
        <v>444526.31000000006</v>
      </c>
      <c r="S458" s="108">
        <f>+AS458</f>
        <v>3594082.05</v>
      </c>
      <c r="T458" s="108">
        <f>+'Приложение №2'!E458-'Приложение №1'!P458-'Приложение №1'!Q458-'Приложение №1'!R458-'Приложение №1'!S458</f>
        <v>1958133.2646326674</v>
      </c>
      <c r="U458" s="107">
        <f t="shared" si="159"/>
        <v>7207.4729053644887</v>
      </c>
      <c r="V458" s="107">
        <f t="shared" si="159"/>
        <v>7207.4729053644887</v>
      </c>
      <c r="W458" s="135">
        <v>2023</v>
      </c>
      <c r="X458" s="28" t="e">
        <f>+#REF!-'[1]Приложение №1'!$P1253</f>
        <v>#REF!</v>
      </c>
      <c r="Z458" s="30">
        <f t="shared" si="163"/>
        <v>25655177.409999996</v>
      </c>
      <c r="AA458" s="26">
        <v>0</v>
      </c>
      <c r="AB458" s="26">
        <v>0</v>
      </c>
      <c r="AC458" s="26">
        <v>0</v>
      </c>
      <c r="AD458" s="26">
        <v>0</v>
      </c>
      <c r="AE458" s="26">
        <v>0</v>
      </c>
      <c r="AF458" s="26"/>
      <c r="AG458" s="26">
        <v>0</v>
      </c>
      <c r="AH458" s="26">
        <v>0</v>
      </c>
      <c r="AI458" s="26">
        <v>12294937.7469324</v>
      </c>
      <c r="AJ458" s="26">
        <v>0</v>
      </c>
      <c r="AK458" s="26">
        <v>10186152.058427099</v>
      </c>
      <c r="AL458" s="26">
        <v>0</v>
      </c>
      <c r="AM458" s="26">
        <v>2425919.9283999996</v>
      </c>
      <c r="AN458" s="31">
        <v>256551.77410000001</v>
      </c>
      <c r="AO458" s="32">
        <v>491615.90214050008</v>
      </c>
      <c r="AP458" s="77">
        <f>+N458-'Приложение №2'!E458</f>
        <v>0</v>
      </c>
      <c r="AQ458" s="1">
        <f>536959.76-224352.09</f>
        <v>312607.67000000004</v>
      </c>
      <c r="AR458" s="1">
        <f t="shared" si="161"/>
        <v>131918.63999999998</v>
      </c>
      <c r="AS458" s="1">
        <f>+(K458*10+L458*20)*12*30-1061869.95</f>
        <v>3594082.05</v>
      </c>
      <c r="AT458" s="28">
        <f t="shared" si="152"/>
        <v>0</v>
      </c>
      <c r="AU458" s="28">
        <f>+P458-'[6]Приложение №1'!$P436</f>
        <v>0</v>
      </c>
      <c r="AV458" s="28">
        <f>+Q458-'[6]Приложение №1'!$Q436</f>
        <v>0</v>
      </c>
      <c r="AW458" s="28">
        <f>+R458-'[6]Приложение №1'!$R436</f>
        <v>0</v>
      </c>
      <c r="AX458" s="28">
        <f>+S458-'[6]Приложение №1'!$S436</f>
        <v>0</v>
      </c>
      <c r="AY458" s="28">
        <f>+T458-'[6]Приложение №1'!$T436</f>
        <v>0</v>
      </c>
    </row>
    <row r="459" spans="1:51" x14ac:dyDescent="0.25">
      <c r="A459" s="137">
        <f t="shared" si="164"/>
        <v>441</v>
      </c>
      <c r="B459" s="138">
        <f t="shared" si="164"/>
        <v>253</v>
      </c>
      <c r="C459" s="120" t="s">
        <v>59</v>
      </c>
      <c r="D459" s="120" t="s">
        <v>692</v>
      </c>
      <c r="E459" s="121">
        <v>1987</v>
      </c>
      <c r="F459" s="121">
        <v>2013</v>
      </c>
      <c r="G459" s="121" t="s">
        <v>43</v>
      </c>
      <c r="H459" s="121">
        <v>3</v>
      </c>
      <c r="I459" s="121">
        <v>1</v>
      </c>
      <c r="J459" s="107">
        <v>801.1</v>
      </c>
      <c r="K459" s="107">
        <v>730.3</v>
      </c>
      <c r="L459" s="107">
        <v>0</v>
      </c>
      <c r="M459" s="122">
        <v>20</v>
      </c>
      <c r="N459" s="133">
        <f t="shared" si="148"/>
        <v>1811123.542842</v>
      </c>
      <c r="O459" s="107"/>
      <c r="P459" s="108"/>
      <c r="Q459" s="108"/>
      <c r="R459" s="108">
        <f t="shared" si="162"/>
        <v>370716.75999999995</v>
      </c>
      <c r="S459" s="108">
        <f>+'Приложение №2'!E459-'Приложение №1'!R459</f>
        <v>1440406.782842</v>
      </c>
      <c r="T459" s="108">
        <v>0</v>
      </c>
      <c r="U459" s="107">
        <f t="shared" si="159"/>
        <v>2479.9719880076682</v>
      </c>
      <c r="V459" s="107">
        <f t="shared" si="159"/>
        <v>2479.9719880076682</v>
      </c>
      <c r="W459" s="135">
        <v>2023</v>
      </c>
      <c r="X459" s="28" t="e">
        <f>+#REF!-'[1]Приложение №1'!$P860</f>
        <v>#REF!</v>
      </c>
      <c r="Z459" s="30">
        <f t="shared" si="163"/>
        <v>11533143.700000001</v>
      </c>
      <c r="AA459" s="26">
        <v>2498530.6047538198</v>
      </c>
      <c r="AB459" s="26">
        <v>1521682.50827208</v>
      </c>
      <c r="AC459" s="26">
        <v>0</v>
      </c>
      <c r="AD459" s="26">
        <v>0</v>
      </c>
      <c r="AE459" s="26">
        <v>0</v>
      </c>
      <c r="AF459" s="26"/>
      <c r="AG459" s="26">
        <v>230726.84989368002</v>
      </c>
      <c r="AH459" s="26">
        <v>0</v>
      </c>
      <c r="AI459" s="26">
        <v>0</v>
      </c>
      <c r="AJ459" s="26">
        <v>0</v>
      </c>
      <c r="AK459" s="26">
        <v>5869999.6362147005</v>
      </c>
      <c r="AL459" s="26">
        <v>0</v>
      </c>
      <c r="AM459" s="26">
        <v>1075548.2132000001</v>
      </c>
      <c r="AN459" s="31">
        <v>115331.43699999999</v>
      </c>
      <c r="AO459" s="32">
        <v>221324.45066571998</v>
      </c>
      <c r="AP459" s="77">
        <f>+N459-'Приложение №2'!E459</f>
        <v>0</v>
      </c>
      <c r="AQ459" s="1">
        <f>366713.48-70487.32</f>
        <v>296226.15999999997</v>
      </c>
      <c r="AR459" s="1">
        <f t="shared" si="161"/>
        <v>74490.599999999991</v>
      </c>
      <c r="AS459" s="1">
        <f>+(K459*10+L459*20)*12*30-373794.5</f>
        <v>2255285.5</v>
      </c>
      <c r="AT459" s="28">
        <f t="shared" si="152"/>
        <v>-814878.71715799998</v>
      </c>
      <c r="AU459" s="28">
        <f>+P459-'[6]Приложение №1'!$P437</f>
        <v>-5051149.9263384379</v>
      </c>
      <c r="AV459" s="28">
        <f>+Q459-'[6]Приложение №1'!$Q437</f>
        <v>0</v>
      </c>
      <c r="AW459" s="28">
        <f>+R459-'[6]Приложение №1'!$R437</f>
        <v>0</v>
      </c>
      <c r="AX459" s="28">
        <f>+S459-'[6]Приложение №1'!$S437</f>
        <v>0</v>
      </c>
      <c r="AY459" s="28">
        <f>+T459-'[6]Приложение №1'!$T437</f>
        <v>0</v>
      </c>
    </row>
    <row r="460" spans="1:51" x14ac:dyDescent="0.25">
      <c r="A460" s="137">
        <f t="shared" si="164"/>
        <v>442</v>
      </c>
      <c r="B460" s="138">
        <f t="shared" si="164"/>
        <v>254</v>
      </c>
      <c r="C460" s="120" t="s">
        <v>68</v>
      </c>
      <c r="D460" s="120" t="s">
        <v>697</v>
      </c>
      <c r="E460" s="121">
        <v>1974</v>
      </c>
      <c r="F460" s="121">
        <v>1980</v>
      </c>
      <c r="G460" s="121" t="s">
        <v>43</v>
      </c>
      <c r="H460" s="121">
        <v>4</v>
      </c>
      <c r="I460" s="121">
        <v>4</v>
      </c>
      <c r="J460" s="107">
        <v>3718.5</v>
      </c>
      <c r="K460" s="107">
        <v>2628.2</v>
      </c>
      <c r="L460" s="107">
        <v>61.4</v>
      </c>
      <c r="M460" s="122">
        <v>99</v>
      </c>
      <c r="N460" s="133">
        <f t="shared" si="148"/>
        <v>28484598.610168263</v>
      </c>
      <c r="O460" s="107"/>
      <c r="P460" s="108">
        <v>6153125.9248689683</v>
      </c>
      <c r="Q460" s="108"/>
      <c r="R460" s="108">
        <f t="shared" si="162"/>
        <v>1380937.2</v>
      </c>
      <c r="S460" s="108">
        <f>+AS460</f>
        <v>9903600</v>
      </c>
      <c r="T460" s="108">
        <f>+'Приложение №2'!E460-'Приложение №1'!P460-'Приложение №1'!R460-'Приложение №1'!S460</f>
        <v>11046935.485299297</v>
      </c>
      <c r="U460" s="107">
        <f t="shared" ref="U460:V480" si="165">$N460/($K460+$L460)</f>
        <v>10590.644932394507</v>
      </c>
      <c r="V460" s="107">
        <f t="shared" si="165"/>
        <v>10590.644932394507</v>
      </c>
      <c r="W460" s="135">
        <v>2023</v>
      </c>
      <c r="X460" s="28" t="e">
        <f>+#REF!-'[1]Приложение №1'!$P1269</f>
        <v>#REF!</v>
      </c>
      <c r="Z460" s="30">
        <f t="shared" si="163"/>
        <v>14517653.369999999</v>
      </c>
      <c r="AA460" s="26">
        <v>0</v>
      </c>
      <c r="AB460" s="26">
        <v>0</v>
      </c>
      <c r="AC460" s="26">
        <v>0</v>
      </c>
      <c r="AD460" s="26">
        <v>0</v>
      </c>
      <c r="AE460" s="26">
        <v>0</v>
      </c>
      <c r="AF460" s="26"/>
      <c r="AG460" s="26">
        <v>0</v>
      </c>
      <c r="AH460" s="26">
        <v>0</v>
      </c>
      <c r="AI460" s="26">
        <v>12786278.0290938</v>
      </c>
      <c r="AJ460" s="26">
        <v>0</v>
      </c>
      <c r="AK460" s="26">
        <v>0</v>
      </c>
      <c r="AL460" s="26">
        <v>0</v>
      </c>
      <c r="AM460" s="26">
        <v>1306588.8032999998</v>
      </c>
      <c r="AN460" s="31">
        <v>145176.5337</v>
      </c>
      <c r="AO460" s="32">
        <v>279610.0039062</v>
      </c>
      <c r="AP460" s="77">
        <f>+N460-'Приложение №2'!E460</f>
        <v>0</v>
      </c>
      <c r="AQ460" s="1">
        <v>1100335.2</v>
      </c>
      <c r="AR460" s="1">
        <f t="shared" si="161"/>
        <v>280602</v>
      </c>
      <c r="AS460" s="1">
        <f>+(K460*10+L460*20)*12*30</f>
        <v>9903600</v>
      </c>
      <c r="AT460" s="28">
        <f t="shared" si="152"/>
        <v>0</v>
      </c>
      <c r="AU460" s="28">
        <f>+P460-'[6]Приложение №1'!$P438</f>
        <v>0</v>
      </c>
      <c r="AV460" s="28">
        <f>+Q460-'[6]Приложение №1'!$Q438</f>
        <v>0</v>
      </c>
      <c r="AW460" s="28">
        <f>+R460-'[6]Приложение №1'!$R438</f>
        <v>0</v>
      </c>
      <c r="AX460" s="28">
        <f>+S460-'[6]Приложение №1'!$S438</f>
        <v>0</v>
      </c>
      <c r="AY460" s="28">
        <f>+T460-'[6]Приложение №1'!$T438</f>
        <v>0</v>
      </c>
    </row>
    <row r="461" spans="1:51" x14ac:dyDescent="0.25">
      <c r="A461" s="137">
        <f t="shared" si="164"/>
        <v>443</v>
      </c>
      <c r="B461" s="138">
        <f t="shared" si="164"/>
        <v>255</v>
      </c>
      <c r="C461" s="120" t="s">
        <v>68</v>
      </c>
      <c r="D461" s="120" t="s">
        <v>695</v>
      </c>
      <c r="E461" s="121">
        <v>1986</v>
      </c>
      <c r="F461" s="121">
        <v>1986</v>
      </c>
      <c r="G461" s="121" t="s">
        <v>43</v>
      </c>
      <c r="H461" s="121">
        <v>4</v>
      </c>
      <c r="I461" s="121">
        <v>4</v>
      </c>
      <c r="J461" s="107">
        <v>3420.4</v>
      </c>
      <c r="K461" s="107">
        <v>2641.9</v>
      </c>
      <c r="L461" s="107">
        <v>0</v>
      </c>
      <c r="M461" s="122">
        <v>102</v>
      </c>
      <c r="N461" s="133">
        <f t="shared" si="148"/>
        <v>7852669.346012</v>
      </c>
      <c r="O461" s="107"/>
      <c r="P461" s="108">
        <f>+'Приложение №2'!E461-'Приложение №1'!R461-'Приложение №1'!S461</f>
        <v>0</v>
      </c>
      <c r="Q461" s="108"/>
      <c r="R461" s="108">
        <f t="shared" si="162"/>
        <v>1454282.82</v>
      </c>
      <c r="S461" s="108">
        <f>+'Приложение №2'!E461-'Приложение №1'!R461</f>
        <v>6398386.5260119997</v>
      </c>
      <c r="T461" s="108">
        <f>+'Приложение №2'!E461-'Приложение №1'!P461-'Приложение №1'!Q461-'Приложение №1'!R461-'Приложение №1'!S461</f>
        <v>0</v>
      </c>
      <c r="U461" s="107">
        <f t="shared" si="165"/>
        <v>2972.3567682395246</v>
      </c>
      <c r="V461" s="107">
        <f t="shared" si="165"/>
        <v>2972.3567682395246</v>
      </c>
      <c r="W461" s="135">
        <v>2023</v>
      </c>
      <c r="X461" s="28" t="e">
        <f>+#REF!-'[1]Приложение №1'!$P1270</f>
        <v>#REF!</v>
      </c>
      <c r="Z461" s="30">
        <f t="shared" si="163"/>
        <v>21968812.859999999</v>
      </c>
      <c r="AA461" s="26">
        <v>0</v>
      </c>
      <c r="AB461" s="26">
        <v>0</v>
      </c>
      <c r="AC461" s="26">
        <v>0</v>
      </c>
      <c r="AD461" s="26">
        <v>0</v>
      </c>
      <c r="AE461" s="26">
        <v>0</v>
      </c>
      <c r="AF461" s="26"/>
      <c r="AG461" s="26">
        <v>0</v>
      </c>
      <c r="AH461" s="26">
        <v>0</v>
      </c>
      <c r="AI461" s="26">
        <v>12571294.6707264</v>
      </c>
      <c r="AJ461" s="26">
        <v>0</v>
      </c>
      <c r="AK461" s="26">
        <v>0</v>
      </c>
      <c r="AL461" s="26">
        <v>6702211.8168390002</v>
      </c>
      <c r="AM461" s="26">
        <v>2054145.6924000001</v>
      </c>
      <c r="AN461" s="31">
        <v>219688.1286</v>
      </c>
      <c r="AO461" s="32">
        <v>421472.55143459997</v>
      </c>
      <c r="AP461" s="77">
        <f>+N461-'Приложение №2'!E461</f>
        <v>0</v>
      </c>
      <c r="AQ461" s="1">
        <v>1184809.02</v>
      </c>
      <c r="AR461" s="1">
        <f t="shared" si="161"/>
        <v>269473.8</v>
      </c>
      <c r="AS461" s="1">
        <f>+(K461*10+L461*20)*12*30</f>
        <v>9510840</v>
      </c>
      <c r="AT461" s="28">
        <f t="shared" si="152"/>
        <v>-3112453.4739880003</v>
      </c>
      <c r="AU461" s="28">
        <f>+P461-'[6]Приложение №1'!$P439</f>
        <v>0</v>
      </c>
      <c r="AV461" s="28">
        <f>+Q461-'[6]Приложение №1'!$Q439</f>
        <v>0</v>
      </c>
      <c r="AW461" s="28">
        <f>+R461-'[6]Приложение №1'!$R439</f>
        <v>0</v>
      </c>
      <c r="AX461" s="28">
        <f>+S461-'[6]Приложение №1'!$S439</f>
        <v>0</v>
      </c>
      <c r="AY461" s="28">
        <f>+T461-'[6]Приложение №1'!$T439</f>
        <v>0</v>
      </c>
    </row>
    <row r="462" spans="1:51" x14ac:dyDescent="0.25">
      <c r="A462" s="137">
        <f t="shared" si="164"/>
        <v>444</v>
      </c>
      <c r="B462" s="138">
        <f t="shared" si="164"/>
        <v>256</v>
      </c>
      <c r="C462" s="120" t="s">
        <v>60</v>
      </c>
      <c r="D462" s="120" t="s">
        <v>706</v>
      </c>
      <c r="E462" s="121">
        <v>1980</v>
      </c>
      <c r="F462" s="121">
        <v>2013</v>
      </c>
      <c r="G462" s="121" t="s">
        <v>47</v>
      </c>
      <c r="H462" s="121">
        <v>1</v>
      </c>
      <c r="I462" s="121">
        <v>2</v>
      </c>
      <c r="J462" s="107">
        <v>418.7</v>
      </c>
      <c r="K462" s="107">
        <v>397.3</v>
      </c>
      <c r="L462" s="107">
        <v>0</v>
      </c>
      <c r="M462" s="122">
        <v>19</v>
      </c>
      <c r="N462" s="133">
        <f t="shared" ref="N462:N480" si="166">+P462+Q462+R462+S462+T462</f>
        <v>2792199.2437518002</v>
      </c>
      <c r="O462" s="107"/>
      <c r="P462" s="108">
        <v>854862.32758393337</v>
      </c>
      <c r="Q462" s="108"/>
      <c r="R462" s="108">
        <f t="shared" si="162"/>
        <v>179774.24599999998</v>
      </c>
      <c r="S462" s="108">
        <f t="shared" ref="S462:S469" si="167">+AS462</f>
        <v>338499.6</v>
      </c>
      <c r="T462" s="108">
        <f>+'Приложение №2'!E462-'Приложение №1'!P462-'Приложение №1'!Q462-'Приложение №1'!R462-'Приложение №1'!S462</f>
        <v>1419063.070167867</v>
      </c>
      <c r="U462" s="107">
        <f t="shared" si="165"/>
        <v>7027.9366819828847</v>
      </c>
      <c r="V462" s="107">
        <f t="shared" si="165"/>
        <v>7027.9366819828847</v>
      </c>
      <c r="W462" s="135">
        <v>2023</v>
      </c>
      <c r="X462" s="28" t="e">
        <f>+#REF!-'[1]Приложение №1'!$P1719</f>
        <v>#REF!</v>
      </c>
      <c r="Z462" s="30">
        <f t="shared" si="163"/>
        <v>6552939.6500000004</v>
      </c>
      <c r="AA462" s="26">
        <v>0</v>
      </c>
      <c r="AB462" s="26">
        <v>0</v>
      </c>
      <c r="AC462" s="26">
        <v>0</v>
      </c>
      <c r="AD462" s="26">
        <v>0</v>
      </c>
      <c r="AE462" s="26">
        <v>0</v>
      </c>
      <c r="AF462" s="26"/>
      <c r="AG462" s="26">
        <v>0</v>
      </c>
      <c r="AH462" s="26">
        <v>0</v>
      </c>
      <c r="AI462" s="26">
        <v>2736680.7350400002</v>
      </c>
      <c r="AJ462" s="26">
        <v>0</v>
      </c>
      <c r="AK462" s="26">
        <v>0</v>
      </c>
      <c r="AL462" s="26">
        <v>3525835.391022</v>
      </c>
      <c r="AM462" s="26">
        <v>108678.99</v>
      </c>
      <c r="AN462" s="31">
        <v>44795.99</v>
      </c>
      <c r="AO462" s="32">
        <v>136948.54393799999</v>
      </c>
      <c r="AP462" s="77">
        <f>+N462-'Приложение №2'!E462</f>
        <v>0</v>
      </c>
      <c r="AQ462" s="1">
        <v>151001.78</v>
      </c>
      <c r="AR462" s="1">
        <f t="shared" ref="AR462:AR467" si="168">+(K462*7.1+L462*19.5)*12*0.85</f>
        <v>28772.465999999997</v>
      </c>
      <c r="AS462" s="1">
        <f t="shared" ref="AS462:AS467" si="169">+(K462*7.1+L462*19.5)*12*10</f>
        <v>338499.6</v>
      </c>
      <c r="AT462" s="28">
        <f t="shared" si="152"/>
        <v>0</v>
      </c>
      <c r="AU462" s="28">
        <f>+P462-'[6]Приложение №1'!$P440</f>
        <v>0</v>
      </c>
      <c r="AV462" s="28">
        <f>+Q462-'[6]Приложение №1'!$Q440</f>
        <v>0</v>
      </c>
      <c r="AW462" s="28">
        <f>+R462-'[6]Приложение №1'!$R440</f>
        <v>0</v>
      </c>
      <c r="AX462" s="28">
        <f>+S462-'[6]Приложение №1'!$S440</f>
        <v>0</v>
      </c>
      <c r="AY462" s="28">
        <f>+T462-'[6]Приложение №1'!$T440</f>
        <v>0</v>
      </c>
    </row>
    <row r="463" spans="1:51" x14ac:dyDescent="0.25">
      <c r="A463" s="137">
        <f t="shared" si="164"/>
        <v>445</v>
      </c>
      <c r="B463" s="138">
        <f t="shared" si="164"/>
        <v>257</v>
      </c>
      <c r="C463" s="120" t="s">
        <v>60</v>
      </c>
      <c r="D463" s="120" t="s">
        <v>712</v>
      </c>
      <c r="E463" s="121">
        <v>1975</v>
      </c>
      <c r="F463" s="121">
        <v>2009</v>
      </c>
      <c r="G463" s="121" t="s">
        <v>47</v>
      </c>
      <c r="H463" s="121">
        <v>2</v>
      </c>
      <c r="I463" s="121">
        <v>3</v>
      </c>
      <c r="J463" s="107">
        <v>588.92999999999995</v>
      </c>
      <c r="K463" s="107">
        <v>526.89</v>
      </c>
      <c r="L463" s="107">
        <v>0</v>
      </c>
      <c r="M463" s="122">
        <v>25</v>
      </c>
      <c r="N463" s="133">
        <f t="shared" si="166"/>
        <v>6636678.46</v>
      </c>
      <c r="O463" s="107"/>
      <c r="P463" s="108">
        <v>2042518.3920666666</v>
      </c>
      <c r="Q463" s="108"/>
      <c r="R463" s="108">
        <f t="shared" si="162"/>
        <v>216869.5638</v>
      </c>
      <c r="S463" s="108">
        <f t="shared" si="167"/>
        <v>448910.27999999997</v>
      </c>
      <c r="T463" s="108">
        <f>+'Приложение №2'!E463-'Приложение №1'!P463-'Приложение №1'!Q463-'Приложение №1'!R463-'Приложение №1'!S463</f>
        <v>3928380.2241333337</v>
      </c>
      <c r="U463" s="107">
        <f t="shared" si="165"/>
        <v>12595.946895936533</v>
      </c>
      <c r="V463" s="107">
        <f t="shared" si="165"/>
        <v>12595.946895936533</v>
      </c>
      <c r="W463" s="135">
        <v>2023</v>
      </c>
      <c r="X463" s="28" t="e">
        <f>+#REF!-'[1]Приложение №1'!$P538</f>
        <v>#REF!</v>
      </c>
      <c r="Z463" s="30">
        <f t="shared" si="163"/>
        <v>6793335.0199999996</v>
      </c>
      <c r="AA463" s="26">
        <v>1320658.3173839999</v>
      </c>
      <c r="AB463" s="26">
        <v>0</v>
      </c>
      <c r="AC463" s="26">
        <v>0</v>
      </c>
      <c r="AD463" s="26">
        <v>737257.57992599998</v>
      </c>
      <c r="AE463" s="26">
        <v>0</v>
      </c>
      <c r="AF463" s="26"/>
      <c r="AG463" s="26">
        <v>0</v>
      </c>
      <c r="AH463" s="26">
        <v>0</v>
      </c>
      <c r="AI463" s="26">
        <v>1613252.1332339998</v>
      </c>
      <c r="AJ463" s="26">
        <v>0</v>
      </c>
      <c r="AK463" s="26">
        <v>2823485.5104120001</v>
      </c>
      <c r="AL463" s="26">
        <v>0</v>
      </c>
      <c r="AM463" s="26">
        <v>126656.56</v>
      </c>
      <c r="AN463" s="31">
        <v>30000</v>
      </c>
      <c r="AO463" s="32">
        <v>142024.91904400001</v>
      </c>
      <c r="AP463" s="77">
        <f>+N463-'Приложение №2'!E463</f>
        <v>0</v>
      </c>
      <c r="AQ463" s="1">
        <v>178712.19</v>
      </c>
      <c r="AR463" s="1">
        <f t="shared" si="168"/>
        <v>38157.373800000001</v>
      </c>
      <c r="AS463" s="1">
        <f t="shared" si="169"/>
        <v>448910.27999999997</v>
      </c>
      <c r="AT463" s="28">
        <f t="shared" si="152"/>
        <v>0</v>
      </c>
      <c r="AU463" s="28">
        <f>+P463-'[6]Приложение №1'!$P441</f>
        <v>0</v>
      </c>
      <c r="AV463" s="28">
        <f>+Q463-'[6]Приложение №1'!$Q441</f>
        <v>0</v>
      </c>
      <c r="AW463" s="28">
        <f>+R463-'[6]Приложение №1'!$R441</f>
        <v>0</v>
      </c>
      <c r="AX463" s="28">
        <f>+S463-'[6]Приложение №1'!$S441</f>
        <v>0</v>
      </c>
      <c r="AY463" s="28">
        <f>+T463-'[6]Приложение №1'!$T441</f>
        <v>0</v>
      </c>
    </row>
    <row r="464" spans="1:51" x14ac:dyDescent="0.25">
      <c r="A464" s="137">
        <f t="shared" si="164"/>
        <v>446</v>
      </c>
      <c r="B464" s="138">
        <f t="shared" si="164"/>
        <v>258</v>
      </c>
      <c r="C464" s="120" t="s">
        <v>60</v>
      </c>
      <c r="D464" s="120" t="s">
        <v>707</v>
      </c>
      <c r="E464" s="121">
        <v>1975</v>
      </c>
      <c r="F464" s="121">
        <v>1975</v>
      </c>
      <c r="G464" s="121" t="s">
        <v>47</v>
      </c>
      <c r="H464" s="121">
        <v>2</v>
      </c>
      <c r="I464" s="121">
        <v>2</v>
      </c>
      <c r="J464" s="107">
        <v>404.7</v>
      </c>
      <c r="K464" s="107">
        <v>359</v>
      </c>
      <c r="L464" s="107">
        <v>0</v>
      </c>
      <c r="M464" s="122">
        <v>19</v>
      </c>
      <c r="N464" s="133">
        <f t="shared" si="166"/>
        <v>1958541.8158535203</v>
      </c>
      <c r="O464" s="107"/>
      <c r="P464" s="108">
        <v>572522.35835117346</v>
      </c>
      <c r="Q464" s="108"/>
      <c r="R464" s="108">
        <f t="shared" si="162"/>
        <v>153563.35</v>
      </c>
      <c r="S464" s="108">
        <f t="shared" si="167"/>
        <v>305868</v>
      </c>
      <c r="T464" s="108">
        <f>+'Приложение №2'!E464-'Приложение №1'!P464-'Приложение №1'!Q464-'Приложение №1'!R464-'Приложение №1'!S464</f>
        <v>926588.10750234686</v>
      </c>
      <c r="U464" s="107">
        <f t="shared" si="165"/>
        <v>5455.5482335752658</v>
      </c>
      <c r="V464" s="107">
        <f t="shared" si="165"/>
        <v>5455.5482335752658</v>
      </c>
      <c r="W464" s="135">
        <v>2023</v>
      </c>
      <c r="X464" s="28" t="e">
        <f>+#REF!-'[1]Приложение №1'!$P1275</f>
        <v>#REF!</v>
      </c>
      <c r="Z464" s="30">
        <f t="shared" si="163"/>
        <v>2159719.7000000002</v>
      </c>
      <c r="AA464" s="26">
        <v>0</v>
      </c>
      <c r="AB464" s="26">
        <v>0</v>
      </c>
      <c r="AC464" s="26">
        <v>105075.60923999998</v>
      </c>
      <c r="AD464" s="26">
        <v>0</v>
      </c>
      <c r="AE464" s="26">
        <v>0</v>
      </c>
      <c r="AF464" s="26"/>
      <c r="AG464" s="26">
        <v>0</v>
      </c>
      <c r="AH464" s="26">
        <v>0</v>
      </c>
      <c r="AI464" s="26">
        <v>0</v>
      </c>
      <c r="AJ464" s="26">
        <v>0</v>
      </c>
      <c r="AK464" s="26">
        <v>1919964.7690860003</v>
      </c>
      <c r="AL464" s="26">
        <v>0</v>
      </c>
      <c r="AM464" s="26">
        <v>60395.79</v>
      </c>
      <c r="AN464" s="31">
        <v>30000</v>
      </c>
      <c r="AO464" s="32">
        <v>44283.531674000005</v>
      </c>
      <c r="AP464" s="77">
        <f>+N464-'Приложение №2'!E464</f>
        <v>0</v>
      </c>
      <c r="AQ464" s="1">
        <v>127564.57</v>
      </c>
      <c r="AR464" s="1">
        <f t="shared" si="168"/>
        <v>25998.780000000002</v>
      </c>
      <c r="AS464" s="1">
        <f t="shared" si="169"/>
        <v>305868</v>
      </c>
      <c r="AT464" s="28">
        <f t="shared" si="152"/>
        <v>0</v>
      </c>
      <c r="AU464" s="28">
        <f>+P464-'[6]Приложение №1'!$P442</f>
        <v>0</v>
      </c>
      <c r="AV464" s="28">
        <f>+Q464-'[6]Приложение №1'!$Q442</f>
        <v>0</v>
      </c>
      <c r="AW464" s="28">
        <f>+R464-'[6]Приложение №1'!$R442</f>
        <v>0</v>
      </c>
      <c r="AX464" s="28">
        <f>+S464-'[6]Приложение №1'!$S442</f>
        <v>0</v>
      </c>
      <c r="AY464" s="28">
        <f>+T464-'[6]Приложение №1'!$T442</f>
        <v>0</v>
      </c>
    </row>
    <row r="465" spans="1:51" x14ac:dyDescent="0.25">
      <c r="A465" s="137">
        <f t="shared" si="164"/>
        <v>447</v>
      </c>
      <c r="B465" s="138">
        <f t="shared" si="164"/>
        <v>259</v>
      </c>
      <c r="C465" s="120" t="s">
        <v>60</v>
      </c>
      <c r="D465" s="120" t="s">
        <v>708</v>
      </c>
      <c r="E465" s="121">
        <v>1982</v>
      </c>
      <c r="F465" s="121">
        <v>1982</v>
      </c>
      <c r="G465" s="121" t="s">
        <v>47</v>
      </c>
      <c r="H465" s="121">
        <v>2</v>
      </c>
      <c r="I465" s="121">
        <v>3</v>
      </c>
      <c r="J465" s="107">
        <v>1277.5</v>
      </c>
      <c r="K465" s="107">
        <v>1102.3</v>
      </c>
      <c r="L465" s="107">
        <v>0</v>
      </c>
      <c r="M465" s="122">
        <v>34</v>
      </c>
      <c r="N465" s="133">
        <f t="shared" si="166"/>
        <v>14630973.174031259</v>
      </c>
      <c r="O465" s="107"/>
      <c r="P465" s="108">
        <v>4932346.6957104206</v>
      </c>
      <c r="Q465" s="108"/>
      <c r="R465" s="108">
        <f t="shared" si="162"/>
        <v>426341.73599999998</v>
      </c>
      <c r="S465" s="108">
        <f t="shared" si="167"/>
        <v>939159.59999999986</v>
      </c>
      <c r="T465" s="108">
        <f>+'Приложение №2'!E465-'Приложение №1'!P465-'Приложение №1'!Q465-'Приложение №1'!R465-'Приложение №1'!S465</f>
        <v>8333125.1423208397</v>
      </c>
      <c r="U465" s="107">
        <f t="shared" si="165"/>
        <v>13273.131791736605</v>
      </c>
      <c r="V465" s="107">
        <f t="shared" si="165"/>
        <v>13273.131791736605</v>
      </c>
      <c r="W465" s="135">
        <v>2023</v>
      </c>
      <c r="X465" s="28" t="e">
        <f>+#REF!-'[1]Приложение №1'!$P1720</f>
        <v>#REF!</v>
      </c>
      <c r="Z465" s="30">
        <f t="shared" si="163"/>
        <v>20938342.830000006</v>
      </c>
      <c r="AA465" s="26">
        <v>2788532.6780639999</v>
      </c>
      <c r="AB465" s="26">
        <v>0</v>
      </c>
      <c r="AC465" s="26">
        <v>377369.21947199997</v>
      </c>
      <c r="AD465" s="26">
        <v>1566144.8148779999</v>
      </c>
      <c r="AE465" s="26">
        <v>0</v>
      </c>
      <c r="AF465" s="26"/>
      <c r="AG465" s="26">
        <v>616763.67752999999</v>
      </c>
      <c r="AH465" s="26">
        <v>0</v>
      </c>
      <c r="AI465" s="26">
        <v>3422622.3707340001</v>
      </c>
      <c r="AJ465" s="26">
        <v>0</v>
      </c>
      <c r="AK465" s="26">
        <v>5952055.6381440004</v>
      </c>
      <c r="AL465" s="26">
        <v>5507536.2469260003</v>
      </c>
      <c r="AM465" s="26">
        <v>219906.35</v>
      </c>
      <c r="AN465" s="31">
        <v>45000.3</v>
      </c>
      <c r="AO465" s="32">
        <v>442411.53425199992</v>
      </c>
      <c r="AP465" s="77">
        <f>+N465-'Приложение №2'!E465</f>
        <v>0</v>
      </c>
      <c r="AQ465" s="1">
        <v>346513.17</v>
      </c>
      <c r="AR465" s="1">
        <f t="shared" si="168"/>
        <v>79828.565999999992</v>
      </c>
      <c r="AS465" s="1">
        <f t="shared" si="169"/>
        <v>939159.59999999986</v>
      </c>
      <c r="AT465" s="28">
        <f t="shared" si="152"/>
        <v>0</v>
      </c>
      <c r="AU465" s="28">
        <f>+P465-'[6]Приложение №1'!$P443</f>
        <v>0</v>
      </c>
      <c r="AV465" s="28">
        <f>+Q465-'[6]Приложение №1'!$Q443</f>
        <v>0</v>
      </c>
      <c r="AW465" s="28">
        <f>+R465-'[6]Приложение №1'!$R443</f>
        <v>0</v>
      </c>
      <c r="AX465" s="28">
        <f>+S465-'[6]Приложение №1'!$S443</f>
        <v>0</v>
      </c>
      <c r="AY465" s="28">
        <f>+T465-'[6]Приложение №1'!$T443</f>
        <v>0</v>
      </c>
    </row>
    <row r="466" spans="1:51" x14ac:dyDescent="0.25">
      <c r="A466" s="137">
        <f t="shared" si="164"/>
        <v>448</v>
      </c>
      <c r="B466" s="138">
        <f t="shared" si="164"/>
        <v>260</v>
      </c>
      <c r="C466" s="120" t="s">
        <v>60</v>
      </c>
      <c r="D466" s="120" t="s">
        <v>710</v>
      </c>
      <c r="E466" s="121">
        <v>1977</v>
      </c>
      <c r="F466" s="121">
        <v>2009</v>
      </c>
      <c r="G466" s="121" t="s">
        <v>47</v>
      </c>
      <c r="H466" s="121">
        <v>2</v>
      </c>
      <c r="I466" s="121">
        <v>2</v>
      </c>
      <c r="J466" s="107">
        <v>513.5</v>
      </c>
      <c r="K466" s="107">
        <v>482.7</v>
      </c>
      <c r="L466" s="107">
        <v>0</v>
      </c>
      <c r="M466" s="122">
        <v>23</v>
      </c>
      <c r="N466" s="133">
        <f t="shared" si="166"/>
        <v>6038708.3828797396</v>
      </c>
      <c r="O466" s="107"/>
      <c r="P466" s="108">
        <v>2036554.7715932464</v>
      </c>
      <c r="Q466" s="108"/>
      <c r="R466" s="108">
        <f t="shared" si="162"/>
        <v>182941.56399999998</v>
      </c>
      <c r="S466" s="108">
        <f t="shared" si="167"/>
        <v>411260.39999999991</v>
      </c>
      <c r="T466" s="108">
        <f>+'Приложение №2'!E466-'Приложение №1'!P466-'Приложение №1'!Q466-'Приложение №1'!R466-'Приложение №1'!S466</f>
        <v>3407951.6472864933</v>
      </c>
      <c r="U466" s="107">
        <f t="shared" si="165"/>
        <v>12510.272183301719</v>
      </c>
      <c r="V466" s="107">
        <f t="shared" si="165"/>
        <v>12510.272183301719</v>
      </c>
      <c r="W466" s="135">
        <v>2023</v>
      </c>
      <c r="X466" s="28" t="e">
        <f>+#REF!-'[1]Приложение №1'!$P539</f>
        <v>#REF!</v>
      </c>
      <c r="Z466" s="30">
        <f t="shared" si="163"/>
        <v>8714786.4700000007</v>
      </c>
      <c r="AA466" s="26">
        <v>1207621.7677859999</v>
      </c>
      <c r="AB466" s="26">
        <v>0</v>
      </c>
      <c r="AC466" s="26">
        <v>0</v>
      </c>
      <c r="AD466" s="26">
        <v>674481.81868200004</v>
      </c>
      <c r="AE466" s="26">
        <v>0</v>
      </c>
      <c r="AF466" s="26"/>
      <c r="AG466" s="26">
        <v>0</v>
      </c>
      <c r="AH466" s="26">
        <v>0</v>
      </c>
      <c r="AI466" s="26">
        <v>1465015.4884260001</v>
      </c>
      <c r="AJ466" s="26">
        <v>0</v>
      </c>
      <c r="AK466" s="26">
        <v>2572639.0445699999</v>
      </c>
      <c r="AL466" s="26">
        <v>2380773.3781019999</v>
      </c>
      <c r="AM466" s="26">
        <v>188635.93</v>
      </c>
      <c r="AN466" s="31">
        <v>44103.229999999996</v>
      </c>
      <c r="AO466" s="32">
        <v>181515.81243399999</v>
      </c>
      <c r="AP466" s="77">
        <f>+N466-'Приложение №2'!E466</f>
        <v>0</v>
      </c>
      <c r="AQ466" s="1">
        <v>147984.43</v>
      </c>
      <c r="AR466" s="1">
        <f t="shared" si="168"/>
        <v>34957.133999999991</v>
      </c>
      <c r="AS466" s="1">
        <f t="shared" si="169"/>
        <v>411260.39999999991</v>
      </c>
      <c r="AT466" s="28">
        <f t="shared" si="152"/>
        <v>0</v>
      </c>
      <c r="AU466" s="28">
        <f>+P466-'[6]Приложение №1'!$P444</f>
        <v>0</v>
      </c>
      <c r="AV466" s="28">
        <f>+Q466-'[6]Приложение №1'!$Q444</f>
        <v>0</v>
      </c>
      <c r="AW466" s="28">
        <f>+R466-'[6]Приложение №1'!$R444</f>
        <v>0</v>
      </c>
      <c r="AX466" s="28">
        <f>+S466-'[6]Приложение №1'!$S444</f>
        <v>0</v>
      </c>
      <c r="AY466" s="28">
        <f>+T466-'[6]Приложение №1'!$T444</f>
        <v>0</v>
      </c>
    </row>
    <row r="467" spans="1:51" x14ac:dyDescent="0.25">
      <c r="A467" s="137">
        <f t="shared" si="164"/>
        <v>449</v>
      </c>
      <c r="B467" s="138">
        <f t="shared" si="164"/>
        <v>261</v>
      </c>
      <c r="C467" s="120" t="s">
        <v>60</v>
      </c>
      <c r="D467" s="120" t="s">
        <v>709</v>
      </c>
      <c r="E467" s="121">
        <v>1980</v>
      </c>
      <c r="F467" s="121">
        <v>2009</v>
      </c>
      <c r="G467" s="121" t="s">
        <v>47</v>
      </c>
      <c r="H467" s="121">
        <v>2</v>
      </c>
      <c r="I467" s="121">
        <v>2</v>
      </c>
      <c r="J467" s="107">
        <v>672.9</v>
      </c>
      <c r="K467" s="107">
        <v>611.1</v>
      </c>
      <c r="L467" s="107">
        <v>0</v>
      </c>
      <c r="M467" s="122">
        <v>29</v>
      </c>
      <c r="N467" s="133">
        <f t="shared" si="166"/>
        <v>7180288.0364000006</v>
      </c>
      <c r="O467" s="107"/>
      <c r="P467" s="108">
        <v>2190719.200666667</v>
      </c>
      <c r="Q467" s="108"/>
      <c r="R467" s="108">
        <f t="shared" si="162"/>
        <v>229660.23199999999</v>
      </c>
      <c r="S467" s="108">
        <f t="shared" si="167"/>
        <v>520657.19999999995</v>
      </c>
      <c r="T467" s="108">
        <f>+'Приложение №2'!E467-'Приложение №1'!P467-'Приложение №1'!Q467-'Приложение №1'!R467-'Приложение №1'!S467</f>
        <v>4239251.4037333336</v>
      </c>
      <c r="U467" s="107">
        <f t="shared" si="165"/>
        <v>11749.775873670431</v>
      </c>
      <c r="V467" s="107">
        <f t="shared" si="165"/>
        <v>11749.775873670431</v>
      </c>
      <c r="W467" s="135">
        <v>2023</v>
      </c>
      <c r="X467" s="28" t="e">
        <f>+#REF!-'[1]Приложение №1'!$P1721</f>
        <v>#REF!</v>
      </c>
      <c r="Z467" s="30">
        <f t="shared" si="163"/>
        <v>11378629.49</v>
      </c>
      <c r="AA467" s="26">
        <v>1424337.5088524399</v>
      </c>
      <c r="AB467" s="26">
        <v>0</v>
      </c>
      <c r="AC467" s="26">
        <v>0</v>
      </c>
      <c r="AD467" s="26">
        <v>760379.17506936006</v>
      </c>
      <c r="AE467" s="26">
        <v>0</v>
      </c>
      <c r="AF467" s="26"/>
      <c r="AG467" s="26">
        <v>334977.14468904003</v>
      </c>
      <c r="AH467" s="26">
        <v>0</v>
      </c>
      <c r="AI467" s="26">
        <v>1736316.6240672001</v>
      </c>
      <c r="AJ467" s="26">
        <v>0</v>
      </c>
      <c r="AK467" s="26">
        <v>2963106.3528674999</v>
      </c>
      <c r="AL467" s="26">
        <v>2745980.9435167201</v>
      </c>
      <c r="AM467" s="26">
        <v>1081828.9410000001</v>
      </c>
      <c r="AN467" s="31">
        <v>113786.29490000001</v>
      </c>
      <c r="AO467" s="32">
        <v>217916.50503774002</v>
      </c>
      <c r="AP467" s="77">
        <f>+N467-'Приложение №2'!E467</f>
        <v>0</v>
      </c>
      <c r="AQ467" s="1">
        <v>185404.37</v>
      </c>
      <c r="AR467" s="1">
        <f t="shared" si="168"/>
        <v>44255.861999999994</v>
      </c>
      <c r="AS467" s="1">
        <f t="shared" si="169"/>
        <v>520657.19999999995</v>
      </c>
      <c r="AT467" s="28">
        <f t="shared" si="152"/>
        <v>0</v>
      </c>
      <c r="AU467" s="28">
        <f>+P467-'[6]Приложение №1'!$P445</f>
        <v>0</v>
      </c>
      <c r="AV467" s="28">
        <f>+Q467-'[6]Приложение №1'!$Q445</f>
        <v>0</v>
      </c>
      <c r="AW467" s="28">
        <f>+R467-'[6]Приложение №1'!$R445</f>
        <v>0</v>
      </c>
      <c r="AX467" s="28">
        <f>+S467-'[6]Приложение №1'!$S445</f>
        <v>0</v>
      </c>
      <c r="AY467" s="28">
        <f>+T467-'[6]Приложение №1'!$T445</f>
        <v>0</v>
      </c>
    </row>
    <row r="468" spans="1:51" x14ac:dyDescent="0.25">
      <c r="A468" s="137">
        <f t="shared" si="164"/>
        <v>450</v>
      </c>
      <c r="B468" s="138">
        <f t="shared" si="164"/>
        <v>262</v>
      </c>
      <c r="C468" s="120" t="s">
        <v>71</v>
      </c>
      <c r="D468" s="120" t="s">
        <v>713</v>
      </c>
      <c r="E468" s="121">
        <v>1978</v>
      </c>
      <c r="F468" s="121">
        <v>2012</v>
      </c>
      <c r="G468" s="121" t="s">
        <v>43</v>
      </c>
      <c r="H468" s="121">
        <v>2</v>
      </c>
      <c r="I468" s="121">
        <v>2</v>
      </c>
      <c r="J468" s="107">
        <v>490.77</v>
      </c>
      <c r="K468" s="107">
        <v>162.07</v>
      </c>
      <c r="L468" s="107">
        <v>0</v>
      </c>
      <c r="M468" s="122">
        <v>12</v>
      </c>
      <c r="N468" s="133">
        <f t="shared" si="166"/>
        <v>16911087.399999999</v>
      </c>
      <c r="O468" s="107"/>
      <c r="P468" s="108">
        <v>4726214.1316666668</v>
      </c>
      <c r="Q468" s="108"/>
      <c r="R468" s="108">
        <f t="shared" si="162"/>
        <v>199998.12</v>
      </c>
      <c r="S468" s="108">
        <f t="shared" si="167"/>
        <v>583451.99999999988</v>
      </c>
      <c r="T468" s="108">
        <f>+'Приложение №2'!E468-'Приложение №1'!P468-'Приложение №1'!Q468-'Приложение №1'!R468-'Приложение №1'!S468</f>
        <v>11401423.148333332</v>
      </c>
      <c r="U468" s="107">
        <f t="shared" si="165"/>
        <v>104344.34133399148</v>
      </c>
      <c r="V468" s="107">
        <f t="shared" si="165"/>
        <v>104344.34133399148</v>
      </c>
      <c r="W468" s="135">
        <v>2023</v>
      </c>
      <c r="X468" s="28" t="e">
        <f>+#REF!-'[1]Приложение №1'!$P1273</f>
        <v>#REF!</v>
      </c>
      <c r="Z468" s="30">
        <f t="shared" si="163"/>
        <v>16858412.73</v>
      </c>
      <c r="AA468" s="26">
        <v>1683565.8969639998</v>
      </c>
      <c r="AB468" s="26">
        <v>1040219.4703179998</v>
      </c>
      <c r="AC468" s="26">
        <v>488517.72999399999</v>
      </c>
      <c r="AD468" s="26">
        <v>423331.30508199998</v>
      </c>
      <c r="AE468" s="26">
        <v>0</v>
      </c>
      <c r="AF468" s="26"/>
      <c r="AG468" s="26">
        <v>147640.393614</v>
      </c>
      <c r="AH468" s="26">
        <v>0</v>
      </c>
      <c r="AI468" s="26">
        <v>4805741.3532099994</v>
      </c>
      <c r="AJ468" s="26">
        <v>0</v>
      </c>
      <c r="AK468" s="26">
        <v>4013795.9746779995</v>
      </c>
      <c r="AL468" s="26">
        <v>3549227.0136119998</v>
      </c>
      <c r="AM468" s="26">
        <v>314486.54000000004</v>
      </c>
      <c r="AN468" s="26">
        <v>38674.67</v>
      </c>
      <c r="AO468" s="32">
        <v>353212.38252800005</v>
      </c>
      <c r="AP468" s="77">
        <f>+N468-'Приложение №2'!E468</f>
        <v>0</v>
      </c>
      <c r="AQ468" s="1">
        <v>183466.98</v>
      </c>
      <c r="AR468" s="1">
        <f>+(K468*10+L468*20)*12*0.85</f>
        <v>16531.14</v>
      </c>
      <c r="AS468" s="1">
        <f>+(K468*10+L468*20)*12*30</f>
        <v>583451.99999999988</v>
      </c>
      <c r="AT468" s="28">
        <f t="shared" si="152"/>
        <v>0</v>
      </c>
      <c r="AU468" s="28">
        <f>+P468-'[6]Приложение №1'!$P446</f>
        <v>0</v>
      </c>
      <c r="AV468" s="28">
        <f>+Q468-'[6]Приложение №1'!$Q446</f>
        <v>-809042.81499999994</v>
      </c>
      <c r="AW468" s="28">
        <f>+R468-'[6]Приложение №1'!$R446</f>
        <v>0</v>
      </c>
      <c r="AX468" s="28">
        <f>+S468-'[6]Приложение №1'!$S446</f>
        <v>0</v>
      </c>
      <c r="AY468" s="28">
        <f>+T468-'[6]Приложение №1'!$T446</f>
        <v>861717.48499999754</v>
      </c>
    </row>
    <row r="469" spans="1:51" x14ac:dyDescent="0.25">
      <c r="A469" s="137">
        <f t="shared" si="164"/>
        <v>451</v>
      </c>
      <c r="B469" s="138">
        <f t="shared" si="164"/>
        <v>263</v>
      </c>
      <c r="C469" s="120" t="s">
        <v>69</v>
      </c>
      <c r="D469" s="120" t="s">
        <v>711</v>
      </c>
      <c r="E469" s="121">
        <v>1981</v>
      </c>
      <c r="F469" s="121">
        <v>2012</v>
      </c>
      <c r="G469" s="121" t="s">
        <v>47</v>
      </c>
      <c r="H469" s="121">
        <v>2</v>
      </c>
      <c r="I469" s="121">
        <v>2</v>
      </c>
      <c r="J469" s="107">
        <v>1102.5</v>
      </c>
      <c r="K469" s="107">
        <v>944.54</v>
      </c>
      <c r="L469" s="107">
        <v>0</v>
      </c>
      <c r="M469" s="122">
        <v>51</v>
      </c>
      <c r="N469" s="133">
        <f t="shared" si="166"/>
        <v>5471090.385000119</v>
      </c>
      <c r="O469" s="107"/>
      <c r="P469" s="108">
        <v>1550168.3224000398</v>
      </c>
      <c r="Q469" s="108"/>
      <c r="R469" s="108">
        <f t="shared" si="162"/>
        <v>340980.2868</v>
      </c>
      <c r="S469" s="108">
        <f t="shared" si="167"/>
        <v>804748.07999999984</v>
      </c>
      <c r="T469" s="108">
        <f>+'Приложение №2'!E469-'Приложение №1'!P469-'Приложение №1'!Q469-'Приложение №1'!R469-'Приложение №1'!S469</f>
        <v>2775193.695800079</v>
      </c>
      <c r="U469" s="107">
        <f t="shared" si="165"/>
        <v>5792.3331833486345</v>
      </c>
      <c r="V469" s="107">
        <f t="shared" si="165"/>
        <v>5792.3331833486345</v>
      </c>
      <c r="W469" s="135">
        <v>2023</v>
      </c>
      <c r="X469" s="28" t="e">
        <f>+#REF!-'[1]Приложение №1'!$P1276</f>
        <v>#REF!</v>
      </c>
      <c r="Z469" s="30">
        <f t="shared" si="163"/>
        <v>7994669.5200000005</v>
      </c>
      <c r="AA469" s="26">
        <v>0</v>
      </c>
      <c r="AB469" s="26">
        <v>0</v>
      </c>
      <c r="AC469" s="26">
        <v>0</v>
      </c>
      <c r="AD469" s="26">
        <v>0</v>
      </c>
      <c r="AE469" s="26">
        <v>0</v>
      </c>
      <c r="AF469" s="26"/>
      <c r="AG469" s="26">
        <v>0</v>
      </c>
      <c r="AH469" s="26">
        <v>0</v>
      </c>
      <c r="AI469" s="26">
        <v>2946332.8479479998</v>
      </c>
      <c r="AJ469" s="26">
        <v>0</v>
      </c>
      <c r="AK469" s="26">
        <v>0</v>
      </c>
      <c r="AL469" s="26">
        <v>4750816.3680600002</v>
      </c>
      <c r="AM469" s="26">
        <v>105837.82</v>
      </c>
      <c r="AN469" s="31">
        <v>23361.42</v>
      </c>
      <c r="AO469" s="32">
        <v>168321.06399200001</v>
      </c>
      <c r="AP469" s="77" t="s">
        <v>249</v>
      </c>
      <c r="AQ469" s="33">
        <v>272576.7</v>
      </c>
      <c r="AR469" s="1">
        <f>+(K469*7.1+L469*19.5)*12*0.85</f>
        <v>68403.58679999999</v>
      </c>
      <c r="AS469" s="1">
        <f>+(K469*7.1+L469*19.5)*12*10</f>
        <v>804748.07999999984</v>
      </c>
      <c r="AT469" s="28">
        <f t="shared" si="152"/>
        <v>0</v>
      </c>
      <c r="AU469" s="28">
        <f>+P469-'[6]Приложение №1'!$P447</f>
        <v>0</v>
      </c>
      <c r="AV469" s="28">
        <f>+Q469-'[6]Приложение №1'!$Q447</f>
        <v>-210000</v>
      </c>
      <c r="AW469" s="28">
        <f>+R469-'[6]Приложение №1'!$R447</f>
        <v>0</v>
      </c>
      <c r="AX469" s="28">
        <f>+S469-'[6]Приложение №1'!$S447</f>
        <v>0</v>
      </c>
      <c r="AY469" s="28">
        <f>+T469-'[6]Приложение №1'!$T447</f>
        <v>210000</v>
      </c>
    </row>
    <row r="470" spans="1:51" x14ac:dyDescent="0.25">
      <c r="A470" s="137">
        <f t="shared" si="164"/>
        <v>452</v>
      </c>
      <c r="B470" s="138">
        <f t="shared" si="164"/>
        <v>264</v>
      </c>
      <c r="C470" s="120" t="s">
        <v>61</v>
      </c>
      <c r="D470" s="120" t="s">
        <v>714</v>
      </c>
      <c r="E470" s="121">
        <v>1978</v>
      </c>
      <c r="F470" s="121">
        <v>2011</v>
      </c>
      <c r="G470" s="121" t="s">
        <v>43</v>
      </c>
      <c r="H470" s="121">
        <v>4</v>
      </c>
      <c r="I470" s="121">
        <v>4</v>
      </c>
      <c r="J470" s="107">
        <v>3928.1</v>
      </c>
      <c r="K470" s="107">
        <v>3427.4</v>
      </c>
      <c r="L470" s="107">
        <v>412.7</v>
      </c>
      <c r="M470" s="122">
        <v>110</v>
      </c>
      <c r="N470" s="133">
        <f t="shared" si="166"/>
        <v>6209439.0055262595</v>
      </c>
      <c r="O470" s="107"/>
      <c r="P470" s="108"/>
      <c r="Q470" s="108"/>
      <c r="R470" s="108">
        <f t="shared" si="162"/>
        <v>2262800.4500000002</v>
      </c>
      <c r="S470" s="108">
        <f>+'Приложение №2'!E470-'Приложение №1'!R470</f>
        <v>3946638.5555262594</v>
      </c>
      <c r="T470" s="108">
        <f>+'Приложение №2'!E470-'Приложение №1'!P470-'Приложение №1'!Q470-'Приложение №1'!R470-'Приложение №1'!S470</f>
        <v>0</v>
      </c>
      <c r="U470" s="107">
        <f t="shared" si="165"/>
        <v>1616.9992983324028</v>
      </c>
      <c r="V470" s="107">
        <f t="shared" si="165"/>
        <v>1616.9992983324028</v>
      </c>
      <c r="W470" s="135">
        <v>2023</v>
      </c>
      <c r="X470" s="28" t="e">
        <f>+#REF!-'[1]Приложение №1'!$P1988</f>
        <v>#REF!</v>
      </c>
      <c r="Z470" s="30">
        <f t="shared" si="163"/>
        <v>8909057.3100000005</v>
      </c>
      <c r="AA470" s="26">
        <v>0</v>
      </c>
      <c r="AB470" s="26">
        <v>0</v>
      </c>
      <c r="AC470" s="26">
        <v>0</v>
      </c>
      <c r="AD470" s="26">
        <v>0</v>
      </c>
      <c r="AE470" s="26">
        <v>0</v>
      </c>
      <c r="AF470" s="26"/>
      <c r="AG470" s="26">
        <v>0</v>
      </c>
      <c r="AH470" s="26">
        <v>0</v>
      </c>
      <c r="AI470" s="26">
        <v>0</v>
      </c>
      <c r="AJ470" s="26">
        <v>0</v>
      </c>
      <c r="AK470" s="26">
        <v>0</v>
      </c>
      <c r="AL470" s="26">
        <v>7759379.1003737403</v>
      </c>
      <c r="AM470" s="26">
        <v>890905.73100000015</v>
      </c>
      <c r="AN470" s="31">
        <v>89090.573100000009</v>
      </c>
      <c r="AO470" s="32">
        <v>169681.90552626003</v>
      </c>
      <c r="AP470" s="77">
        <f>+N470-'Приложение №2'!E470</f>
        <v>0</v>
      </c>
      <c r="AQ470" s="1">
        <v>1829014.85</v>
      </c>
      <c r="AR470" s="1">
        <f t="shared" ref="AR470:AR480" si="170">+(K470*10+L470*20)*12*0.85</f>
        <v>433785.59999999998</v>
      </c>
      <c r="AS470" s="1">
        <f>+(K470*10+L470*20)*12*30</f>
        <v>15310080</v>
      </c>
      <c r="AT470" s="28">
        <f t="shared" si="152"/>
        <v>-11363441.44447374</v>
      </c>
      <c r="AU470" s="28">
        <f>+P470-'[6]Приложение №1'!$P448</f>
        <v>-331357.31247093313</v>
      </c>
      <c r="AV470" s="28">
        <f>+Q470-'[6]Приложение №1'!$Q448</f>
        <v>0</v>
      </c>
      <c r="AW470" s="28">
        <f>+R470-'[6]Приложение №1'!$R448</f>
        <v>0</v>
      </c>
      <c r="AX470" s="28">
        <f>+S470-'[6]Приложение №1'!$S448</f>
        <v>0</v>
      </c>
      <c r="AY470" s="28">
        <f>+T470-'[6]Приложение №1'!$T448</f>
        <v>0</v>
      </c>
    </row>
    <row r="471" spans="1:51" x14ac:dyDescent="0.25">
      <c r="A471" s="137">
        <f t="shared" si="164"/>
        <v>453</v>
      </c>
      <c r="B471" s="138">
        <f t="shared" si="164"/>
        <v>265</v>
      </c>
      <c r="C471" s="120" t="s">
        <v>61</v>
      </c>
      <c r="D471" s="120" t="s">
        <v>206</v>
      </c>
      <c r="E471" s="121">
        <v>1997</v>
      </c>
      <c r="F471" s="121">
        <v>2012</v>
      </c>
      <c r="G471" s="121" t="s">
        <v>43</v>
      </c>
      <c r="H471" s="121">
        <v>5</v>
      </c>
      <c r="I471" s="121">
        <v>4</v>
      </c>
      <c r="J471" s="107">
        <v>3981.21</v>
      </c>
      <c r="K471" s="107">
        <v>3474.7</v>
      </c>
      <c r="L471" s="107">
        <v>88.61</v>
      </c>
      <c r="M471" s="122">
        <v>114</v>
      </c>
      <c r="N471" s="133">
        <f t="shared" si="166"/>
        <v>1050228.8737864401</v>
      </c>
      <c r="O471" s="107"/>
      <c r="P471" s="108"/>
      <c r="Q471" s="108"/>
      <c r="R471" s="108">
        <f>+'Приложение №2'!E471</f>
        <v>1050228.8737864401</v>
      </c>
      <c r="S471" s="108">
        <f>+'Приложение №2'!E471-'Приложение №1'!R471</f>
        <v>0</v>
      </c>
      <c r="T471" s="108">
        <f>+'Приложение №2'!E471-'Приложение №1'!P471-'Приложение №1'!Q471-'Приложение №1'!R471-'Приложение №1'!S471</f>
        <v>0</v>
      </c>
      <c r="U471" s="107">
        <f t="shared" si="165"/>
        <v>294.73407415757822</v>
      </c>
      <c r="V471" s="107">
        <f t="shared" si="165"/>
        <v>294.73407415757822</v>
      </c>
      <c r="W471" s="135">
        <v>2023</v>
      </c>
      <c r="X471" s="28" t="e">
        <f>+#REF!-'[1]Приложение №1'!$P1142</f>
        <v>#REF!</v>
      </c>
      <c r="Z471" s="30">
        <f t="shared" si="163"/>
        <v>1574001.34</v>
      </c>
      <c r="AA471" s="26">
        <v>0</v>
      </c>
      <c r="AB471" s="26">
        <v>0</v>
      </c>
      <c r="AC471" s="26">
        <v>0</v>
      </c>
      <c r="AD471" s="26">
        <v>0</v>
      </c>
      <c r="AE471" s="26">
        <v>1062819.2208135601</v>
      </c>
      <c r="AF471" s="26"/>
      <c r="AG471" s="26">
        <v>0</v>
      </c>
      <c r="AH471" s="26">
        <v>0</v>
      </c>
      <c r="AI471" s="26">
        <v>0</v>
      </c>
      <c r="AJ471" s="26">
        <v>0</v>
      </c>
      <c r="AK471" s="26">
        <v>0</v>
      </c>
      <c r="AL471" s="26">
        <v>0</v>
      </c>
      <c r="AM471" s="26">
        <v>472200.402</v>
      </c>
      <c r="AN471" s="31">
        <v>15740.013400000002</v>
      </c>
      <c r="AO471" s="32">
        <v>23241.703786440004</v>
      </c>
      <c r="AP471" s="77">
        <f>+N471-'Приложение №2'!E471</f>
        <v>0</v>
      </c>
      <c r="AQ471" s="1">
        <v>1742724.96</v>
      </c>
      <c r="AR471" s="1">
        <f t="shared" si="170"/>
        <v>372495.83999999997</v>
      </c>
      <c r="AS471" s="1">
        <f>+(K471*10+L471*20)*12*30</f>
        <v>13146911.999999998</v>
      </c>
      <c r="AT471" s="28">
        <f t="shared" si="152"/>
        <v>-13146911.999999998</v>
      </c>
      <c r="AU471" s="28">
        <f>+P471-'[6]Приложение №1'!$P449</f>
        <v>-1386547.1137890664</v>
      </c>
      <c r="AV471" s="28">
        <f>+Q471-'[6]Приложение №1'!$Q449</f>
        <v>0</v>
      </c>
      <c r="AW471" s="28">
        <f>+R471-'[6]Приложение №1'!$R449</f>
        <v>0</v>
      </c>
      <c r="AX471" s="28">
        <f>+S471-'[6]Приложение №1'!$S449</f>
        <v>0</v>
      </c>
      <c r="AY471" s="28">
        <f>+T471-'[6]Приложение №1'!$T449</f>
        <v>0</v>
      </c>
    </row>
    <row r="472" spans="1:51" x14ac:dyDescent="0.25">
      <c r="A472" s="137">
        <f t="shared" si="164"/>
        <v>454</v>
      </c>
      <c r="B472" s="138">
        <f t="shared" si="164"/>
        <v>266</v>
      </c>
      <c r="C472" s="120" t="s">
        <v>61</v>
      </c>
      <c r="D472" s="120" t="s">
        <v>715</v>
      </c>
      <c r="E472" s="121">
        <v>1992</v>
      </c>
      <c r="F472" s="121">
        <v>2010</v>
      </c>
      <c r="G472" s="121" t="s">
        <v>43</v>
      </c>
      <c r="H472" s="121">
        <v>2</v>
      </c>
      <c r="I472" s="121">
        <v>2</v>
      </c>
      <c r="J472" s="107">
        <v>1132.5999999999999</v>
      </c>
      <c r="K472" s="107">
        <v>869.3</v>
      </c>
      <c r="L472" s="107">
        <v>263.3</v>
      </c>
      <c r="M472" s="122">
        <v>31</v>
      </c>
      <c r="N472" s="133">
        <f t="shared" si="166"/>
        <v>293473.29564598005</v>
      </c>
      <c r="O472" s="107"/>
      <c r="P472" s="108"/>
      <c r="Q472" s="108"/>
      <c r="R472" s="108">
        <f>+'Приложение №2'!E472</f>
        <v>293473.29564598005</v>
      </c>
      <c r="S472" s="108">
        <f>+'Приложение №2'!E472-'Приложение №1'!R472</f>
        <v>0</v>
      </c>
      <c r="T472" s="108">
        <f>+'Приложение №2'!E472-'Приложение №1'!P472-'Приложение №1'!Q472-'Приложение №1'!R472-'Приложение №1'!S472</f>
        <v>0</v>
      </c>
      <c r="U472" s="107">
        <f t="shared" si="165"/>
        <v>259.11468801516872</v>
      </c>
      <c r="V472" s="107">
        <f t="shared" si="165"/>
        <v>259.11468801516872</v>
      </c>
      <c r="W472" s="135">
        <v>2023</v>
      </c>
      <c r="X472" s="28" t="e">
        <f>+#REF!-'[1]Приложение №1'!$P1143</f>
        <v>#REF!</v>
      </c>
      <c r="Z472" s="30">
        <f t="shared" si="163"/>
        <v>458770.53</v>
      </c>
      <c r="AA472" s="26">
        <v>0</v>
      </c>
      <c r="AB472" s="26">
        <v>0</v>
      </c>
      <c r="AC472" s="26">
        <v>0</v>
      </c>
      <c r="AD472" s="26">
        <v>0</v>
      </c>
      <c r="AE472" s="26">
        <v>309777.46005402005</v>
      </c>
      <c r="AF472" s="26"/>
      <c r="AG472" s="26">
        <v>0</v>
      </c>
      <c r="AH472" s="26">
        <v>0</v>
      </c>
      <c r="AI472" s="26">
        <v>0</v>
      </c>
      <c r="AJ472" s="26">
        <v>0</v>
      </c>
      <c r="AK472" s="26">
        <v>0</v>
      </c>
      <c r="AL472" s="26">
        <v>0</v>
      </c>
      <c r="AM472" s="26">
        <v>137631.15900000001</v>
      </c>
      <c r="AN472" s="31">
        <v>4587.7053000000005</v>
      </c>
      <c r="AO472" s="32">
        <v>6774.2056459800015</v>
      </c>
      <c r="AP472" s="77">
        <f>+N472-'Приложение №2'!E472</f>
        <v>0</v>
      </c>
      <c r="AQ472" s="1">
        <f>467298.54-180991.88</f>
        <v>286306.65999999997</v>
      </c>
      <c r="AR472" s="1">
        <f t="shared" si="170"/>
        <v>142381.79999999999</v>
      </c>
      <c r="AS472" s="1">
        <f>+(K472*10+L472*20)*12*30-1001.27</f>
        <v>5024238.7300000004</v>
      </c>
      <c r="AT472" s="28">
        <f t="shared" si="152"/>
        <v>-5024238.7300000004</v>
      </c>
      <c r="AU472" s="28">
        <f>+P472-'[6]Приложение №1'!$P450</f>
        <v>-3019218.0038803602</v>
      </c>
      <c r="AV472" s="28">
        <f>+Q472-'[6]Приложение №1'!$Q450</f>
        <v>0</v>
      </c>
      <c r="AW472" s="28">
        <f>+R472-'[6]Приложение №1'!$R450</f>
        <v>0</v>
      </c>
      <c r="AX472" s="28">
        <f>+S472-'[6]Приложение №1'!$S450</f>
        <v>0</v>
      </c>
      <c r="AY472" s="28">
        <f>+T472-'[6]Приложение №1'!$T450</f>
        <v>0</v>
      </c>
    </row>
    <row r="473" spans="1:51" x14ac:dyDescent="0.25">
      <c r="A473" s="137">
        <f t="shared" si="164"/>
        <v>455</v>
      </c>
      <c r="B473" s="138">
        <f t="shared" si="164"/>
        <v>267</v>
      </c>
      <c r="C473" s="120" t="s">
        <v>61</v>
      </c>
      <c r="D473" s="120" t="s">
        <v>716</v>
      </c>
      <c r="E473" s="121">
        <v>1993</v>
      </c>
      <c r="F473" s="121">
        <v>2009</v>
      </c>
      <c r="G473" s="121" t="s">
        <v>43</v>
      </c>
      <c r="H473" s="121">
        <v>2</v>
      </c>
      <c r="I473" s="121">
        <v>2</v>
      </c>
      <c r="J473" s="107">
        <v>1119.8</v>
      </c>
      <c r="K473" s="107">
        <v>862.9</v>
      </c>
      <c r="L473" s="107">
        <v>256.89999999999998</v>
      </c>
      <c r="M473" s="122">
        <v>33</v>
      </c>
      <c r="N473" s="133">
        <f t="shared" si="166"/>
        <v>321001.14</v>
      </c>
      <c r="O473" s="107"/>
      <c r="P473" s="108"/>
      <c r="Q473" s="108"/>
      <c r="R473" s="108">
        <f>+'Приложение №2'!E473</f>
        <v>321001.14</v>
      </c>
      <c r="S473" s="108">
        <f>+'Приложение №2'!E473-'Приложение №1'!R473</f>
        <v>0</v>
      </c>
      <c r="T473" s="108">
        <f>+'Приложение №2'!E473-'Приложение №1'!P473-'Приложение №1'!Q473-'Приложение №1'!R473-'Приложение №1'!S473</f>
        <v>0</v>
      </c>
      <c r="U473" s="107">
        <f t="shared" si="165"/>
        <v>286.65934988390785</v>
      </c>
      <c r="V473" s="107">
        <f t="shared" si="165"/>
        <v>286.65934988390785</v>
      </c>
      <c r="W473" s="135">
        <v>2023</v>
      </c>
      <c r="X473" s="28" t="e">
        <f>+#REF!-'[1]Приложение №1'!$P1144</f>
        <v>#REF!</v>
      </c>
      <c r="Z473" s="30">
        <f t="shared" si="163"/>
        <v>404572.72000000003</v>
      </c>
      <c r="AA473" s="26">
        <v>0</v>
      </c>
      <c r="AB473" s="26">
        <v>0</v>
      </c>
      <c r="AC473" s="26">
        <v>0</v>
      </c>
      <c r="AD473" s="26">
        <v>0</v>
      </c>
      <c r="AE473" s="26">
        <v>318383.06</v>
      </c>
      <c r="AF473" s="26"/>
      <c r="AG473" s="26">
        <v>0</v>
      </c>
      <c r="AH473" s="26">
        <v>0</v>
      </c>
      <c r="AI473" s="26">
        <v>0</v>
      </c>
      <c r="AJ473" s="26">
        <v>0</v>
      </c>
      <c r="AK473" s="26">
        <v>0</v>
      </c>
      <c r="AL473" s="26">
        <v>0</v>
      </c>
      <c r="AM473" s="26">
        <v>80238.25</v>
      </c>
      <c r="AN473" s="31">
        <v>3333.33</v>
      </c>
      <c r="AO473" s="32">
        <v>2618.08</v>
      </c>
      <c r="AP473" s="77">
        <f>+N473-'Приложение №2'!E473</f>
        <v>0</v>
      </c>
      <c r="AQ473" s="1">
        <f>384509.89-236084.3854</f>
        <v>148425.50460000001</v>
      </c>
      <c r="AR473" s="1">
        <f t="shared" si="170"/>
        <v>140423.4</v>
      </c>
      <c r="AS473" s="1">
        <f>+(K473*10+L473*20)*12*30-325085.89</f>
        <v>4631034.1100000003</v>
      </c>
      <c r="AT473" s="28">
        <f t="shared" ref="AT473:AT536" si="171">+S473-AS473</f>
        <v>-4631034.1100000003</v>
      </c>
      <c r="AU473" s="28">
        <f>+P473-'[6]Приложение №1'!$P451</f>
        <v>-3797418.9970000004</v>
      </c>
      <c r="AV473" s="28">
        <f>+Q473-'[6]Приложение №1'!$Q451</f>
        <v>0</v>
      </c>
      <c r="AW473" s="28">
        <f>+R473-'[6]Приложение №1'!$R451</f>
        <v>0</v>
      </c>
      <c r="AX473" s="28">
        <f>+S473-'[6]Приложение №1'!$S451</f>
        <v>0</v>
      </c>
      <c r="AY473" s="28">
        <f>+T473-'[6]Приложение №1'!$T451</f>
        <v>0</v>
      </c>
    </row>
    <row r="474" spans="1:51" x14ac:dyDescent="0.25">
      <c r="A474" s="137">
        <f t="shared" ref="A474:B480" si="172">+A473+1</f>
        <v>456</v>
      </c>
      <c r="B474" s="138">
        <f t="shared" si="172"/>
        <v>268</v>
      </c>
      <c r="C474" s="120" t="s">
        <v>62</v>
      </c>
      <c r="D474" s="120" t="s">
        <v>717</v>
      </c>
      <c r="E474" s="121">
        <v>1991</v>
      </c>
      <c r="F474" s="121">
        <v>2011</v>
      </c>
      <c r="G474" s="121" t="s">
        <v>43</v>
      </c>
      <c r="H474" s="121">
        <v>5</v>
      </c>
      <c r="I474" s="121">
        <v>5</v>
      </c>
      <c r="J474" s="107">
        <v>4770.3999999999996</v>
      </c>
      <c r="K474" s="107">
        <v>4318</v>
      </c>
      <c r="L474" s="107">
        <v>0</v>
      </c>
      <c r="M474" s="122">
        <v>178</v>
      </c>
      <c r="N474" s="133">
        <f t="shared" si="166"/>
        <v>1873270.93</v>
      </c>
      <c r="O474" s="107"/>
      <c r="P474" s="108"/>
      <c r="Q474" s="108"/>
      <c r="R474" s="108">
        <f>+'Приложение №2'!E474</f>
        <v>1873270.93</v>
      </c>
      <c r="S474" s="108">
        <f>+'Приложение №2'!E474-'Приложение №1'!R474</f>
        <v>0</v>
      </c>
      <c r="T474" s="108">
        <f>+'Приложение №2'!E474-'Приложение №1'!P474-'Приложение №1'!Q474-'Приложение №1'!R474-'Приложение №1'!S474</f>
        <v>0</v>
      </c>
      <c r="U474" s="107">
        <f t="shared" si="165"/>
        <v>433.82837656322369</v>
      </c>
      <c r="V474" s="107">
        <f t="shared" si="165"/>
        <v>433.82837656322369</v>
      </c>
      <c r="W474" s="135">
        <v>2023</v>
      </c>
      <c r="X474" s="28" t="e">
        <f>+#REF!-'[1]Приложение №1'!$P1151</f>
        <v>#REF!</v>
      </c>
      <c r="Z474" s="30">
        <f t="shared" si="163"/>
        <v>2117492.21</v>
      </c>
      <c r="AA474" s="26">
        <v>0</v>
      </c>
      <c r="AB474" s="26">
        <v>0</v>
      </c>
      <c r="AC474" s="26">
        <v>0</v>
      </c>
      <c r="AD474" s="26">
        <v>0</v>
      </c>
      <c r="AE474" s="26">
        <v>1859152.43</v>
      </c>
      <c r="AF474" s="26"/>
      <c r="AG474" s="26">
        <v>0</v>
      </c>
      <c r="AH474" s="26">
        <v>0</v>
      </c>
      <c r="AI474" s="26">
        <v>0</v>
      </c>
      <c r="AJ474" s="26">
        <v>0</v>
      </c>
      <c r="AK474" s="26">
        <v>0</v>
      </c>
      <c r="AL474" s="26">
        <v>0</v>
      </c>
      <c r="AM474" s="26">
        <v>240887.95</v>
      </c>
      <c r="AN474" s="31">
        <v>3333.33</v>
      </c>
      <c r="AO474" s="32">
        <v>14118.5</v>
      </c>
      <c r="AP474" s="77">
        <f>+N474-'Приложение №2'!E474</f>
        <v>0</v>
      </c>
      <c r="AQ474" s="1">
        <v>1919885.11</v>
      </c>
      <c r="AR474" s="1">
        <f t="shared" si="170"/>
        <v>440436</v>
      </c>
      <c r="AS474" s="1">
        <f>+(K474*10+L474*20)*12*30</f>
        <v>15544800</v>
      </c>
      <c r="AT474" s="28">
        <f t="shared" si="171"/>
        <v>-15544800</v>
      </c>
      <c r="AU474" s="28">
        <f>+P474-'[6]Приложение №1'!$P452</f>
        <v>-1276378.0712522666</v>
      </c>
      <c r="AV474" s="28">
        <f>+Q474-'[6]Приложение №1'!$Q452</f>
        <v>0</v>
      </c>
      <c r="AW474" s="28">
        <f>+R474-'[6]Приложение №1'!$R452</f>
        <v>0</v>
      </c>
      <c r="AX474" s="28">
        <f>+S474-'[6]Приложение №1'!$S452</f>
        <v>0</v>
      </c>
      <c r="AY474" s="28">
        <f>+T474-'[6]Приложение №1'!$T452</f>
        <v>0</v>
      </c>
    </row>
    <row r="475" spans="1:51" x14ac:dyDescent="0.25">
      <c r="A475" s="137">
        <f t="shared" si="172"/>
        <v>457</v>
      </c>
      <c r="B475" s="138">
        <f t="shared" si="172"/>
        <v>269</v>
      </c>
      <c r="C475" s="120" t="s">
        <v>62</v>
      </c>
      <c r="D475" s="120" t="s">
        <v>718</v>
      </c>
      <c r="E475" s="121">
        <v>1971</v>
      </c>
      <c r="F475" s="121">
        <v>2011</v>
      </c>
      <c r="G475" s="121" t="s">
        <v>43</v>
      </c>
      <c r="H475" s="121">
        <v>5</v>
      </c>
      <c r="I475" s="121">
        <v>4</v>
      </c>
      <c r="J475" s="107">
        <v>3534.8</v>
      </c>
      <c r="K475" s="107">
        <v>2494.1</v>
      </c>
      <c r="L475" s="107">
        <v>875.9</v>
      </c>
      <c r="M475" s="122">
        <v>129</v>
      </c>
      <c r="N475" s="133">
        <f t="shared" si="166"/>
        <v>2251948.8353626798</v>
      </c>
      <c r="O475" s="107"/>
      <c r="P475" s="108"/>
      <c r="Q475" s="108"/>
      <c r="R475" s="108">
        <f>+AQ475+AR475</f>
        <v>1393368.6</v>
      </c>
      <c r="S475" s="108">
        <f>+'Приложение №2'!E475-'Приложение №1'!R475</f>
        <v>858580.2353626797</v>
      </c>
      <c r="T475" s="108">
        <f>+'Приложение №2'!E475-'Приложение №1'!P475-'Приложение №1'!Q475-'Приложение №1'!R475-'Приложение №1'!S475</f>
        <v>0</v>
      </c>
      <c r="U475" s="107">
        <f t="shared" si="165"/>
        <v>668.23407577527587</v>
      </c>
      <c r="V475" s="107">
        <f t="shared" si="165"/>
        <v>668.23407577527587</v>
      </c>
      <c r="W475" s="135">
        <v>2023</v>
      </c>
      <c r="X475" s="28" t="e">
        <f>+#REF!-'[1]Приложение №1'!$P1546</f>
        <v>#REF!</v>
      </c>
      <c r="Z475" s="30">
        <f t="shared" si="163"/>
        <v>10838098.81182522</v>
      </c>
      <c r="AA475" s="26"/>
      <c r="AB475" s="26">
        <v>0</v>
      </c>
      <c r="AC475" s="26">
        <v>0</v>
      </c>
      <c r="AD475" s="26">
        <v>0</v>
      </c>
      <c r="AE475" s="26">
        <v>1101213.72829692</v>
      </c>
      <c r="AF475" s="26"/>
      <c r="AG475" s="26">
        <v>0</v>
      </c>
      <c r="AH475" s="26">
        <v>0</v>
      </c>
      <c r="AI475" s="26">
        <v>0</v>
      </c>
      <c r="AJ475" s="26">
        <v>0</v>
      </c>
      <c r="AK475" s="26">
        <v>0</v>
      </c>
      <c r="AL475" s="26">
        <v>7387688.3326625396</v>
      </c>
      <c r="AM475" s="26">
        <v>1867251.8873999999</v>
      </c>
      <c r="AN475" s="31">
        <v>167352.03419999999</v>
      </c>
      <c r="AO475" s="32">
        <v>314592.82926576003</v>
      </c>
      <c r="AP475" s="77">
        <f>+N475-'Приложение №2'!E475</f>
        <v>0</v>
      </c>
      <c r="AQ475" s="1">
        <f>1768332.06-808045.26</f>
        <v>960286.8</v>
      </c>
      <c r="AR475" s="1">
        <f t="shared" si="170"/>
        <v>433081.8</v>
      </c>
      <c r="AS475" s="1">
        <f>+(K475*10+L475*20)*12*30-2725603.24</f>
        <v>12559636.76</v>
      </c>
      <c r="AT475" s="28">
        <f t="shared" si="171"/>
        <v>-11701056.524637319</v>
      </c>
      <c r="AU475" s="28">
        <f>+P475-'[6]Приложение №1'!$P453</f>
        <v>-1104159.1966666665</v>
      </c>
      <c r="AV475" s="28">
        <f>+Q475-'[6]Приложение №1'!$Q453</f>
        <v>0</v>
      </c>
      <c r="AW475" s="28">
        <f>+R475-'[6]Приложение №1'!$R453</f>
        <v>0</v>
      </c>
      <c r="AX475" s="28">
        <f>+S475-'[6]Приложение №1'!$S453</f>
        <v>0</v>
      </c>
      <c r="AY475" s="28">
        <f>+T475-'[6]Приложение №1'!$T453</f>
        <v>0</v>
      </c>
    </row>
    <row r="476" spans="1:51" x14ac:dyDescent="0.25">
      <c r="A476" s="137">
        <f t="shared" si="172"/>
        <v>458</v>
      </c>
      <c r="B476" s="138">
        <f t="shared" si="172"/>
        <v>270</v>
      </c>
      <c r="C476" s="120" t="s">
        <v>62</v>
      </c>
      <c r="D476" s="120" t="s">
        <v>719</v>
      </c>
      <c r="E476" s="121">
        <v>1974</v>
      </c>
      <c r="F476" s="121">
        <v>2011</v>
      </c>
      <c r="G476" s="121" t="s">
        <v>43</v>
      </c>
      <c r="H476" s="121">
        <v>5</v>
      </c>
      <c r="I476" s="121">
        <v>4</v>
      </c>
      <c r="J476" s="107">
        <v>3194.1</v>
      </c>
      <c r="K476" s="107">
        <v>1856.9</v>
      </c>
      <c r="L476" s="107">
        <v>1224.7</v>
      </c>
      <c r="M476" s="122">
        <v>88</v>
      </c>
      <c r="N476" s="133">
        <f t="shared" si="166"/>
        <v>2442223.62128712</v>
      </c>
      <c r="O476" s="107"/>
      <c r="P476" s="108"/>
      <c r="Q476" s="108"/>
      <c r="R476" s="108">
        <f>+AQ476+AR476</f>
        <v>1363004.8699999999</v>
      </c>
      <c r="S476" s="108">
        <f>+'Приложение №2'!E476-'Приложение №1'!R476</f>
        <v>1079218.7512871202</v>
      </c>
      <c r="T476" s="108">
        <f>+'Приложение №2'!E476-'Приложение №1'!P476-'Приложение №1'!Q476-'Приложение №1'!R476-'Приложение №1'!S476</f>
        <v>0</v>
      </c>
      <c r="U476" s="107">
        <f t="shared" si="165"/>
        <v>792.51804948309962</v>
      </c>
      <c r="V476" s="107">
        <f t="shared" si="165"/>
        <v>792.51804948309962</v>
      </c>
      <c r="W476" s="135">
        <v>2023</v>
      </c>
      <c r="X476" s="28" t="e">
        <f>+#REF!-'[1]Приложение №1'!$P1547</f>
        <v>#REF!</v>
      </c>
      <c r="Z476" s="30">
        <f t="shared" si="163"/>
        <v>9392640.5899999999</v>
      </c>
      <c r="AA476" s="26">
        <v>0</v>
      </c>
      <c r="AB476" s="26">
        <v>0</v>
      </c>
      <c r="AC476" s="26">
        <v>0</v>
      </c>
      <c r="AD476" s="26">
        <v>0</v>
      </c>
      <c r="AE476" s="26">
        <v>1022757.2702335803</v>
      </c>
      <c r="AF476" s="26"/>
      <c r="AG476" s="26">
        <v>0</v>
      </c>
      <c r="AH476" s="26">
        <v>0</v>
      </c>
      <c r="AI476" s="26">
        <v>0</v>
      </c>
      <c r="AJ476" s="26">
        <v>0</v>
      </c>
      <c r="AK476" s="26">
        <v>0</v>
      </c>
      <c r="AL476" s="26">
        <v>6861349.2395128794</v>
      </c>
      <c r="AM476" s="26">
        <v>1242198.233</v>
      </c>
      <c r="AN476" s="31">
        <v>93926.405899999998</v>
      </c>
      <c r="AO476" s="32">
        <v>172409.44135354002</v>
      </c>
      <c r="AP476" s="77">
        <f>+N476-'Приложение №2'!E476</f>
        <v>0</v>
      </c>
      <c r="AQ476" s="1">
        <f>1878287.66-954525.39</f>
        <v>923762.2699999999</v>
      </c>
      <c r="AR476" s="1">
        <f t="shared" si="170"/>
        <v>439242.6</v>
      </c>
      <c r="AS476" s="1">
        <f>+(K476*10+L476*20)*12*30-119920.72-2599968.3</f>
        <v>12782790.98</v>
      </c>
      <c r="AT476" s="28">
        <f t="shared" si="171"/>
        <v>-11703572.228712881</v>
      </c>
      <c r="AU476" s="28">
        <f>+P476-'[6]Приложение №1'!$P454</f>
        <v>0</v>
      </c>
      <c r="AV476" s="28">
        <f>+Q476-'[6]Приложение №1'!$Q454</f>
        <v>0</v>
      </c>
      <c r="AW476" s="28">
        <f>+R476-'[6]Приложение №1'!$R454</f>
        <v>0</v>
      </c>
      <c r="AX476" s="28">
        <f>+S476-'[6]Приложение №1'!$S454</f>
        <v>0</v>
      </c>
      <c r="AY476" s="28">
        <f>+T476-'[6]Приложение №1'!$T454</f>
        <v>0</v>
      </c>
    </row>
    <row r="477" spans="1:51" x14ac:dyDescent="0.25">
      <c r="A477" s="137">
        <f t="shared" si="172"/>
        <v>459</v>
      </c>
      <c r="B477" s="138">
        <f t="shared" si="172"/>
        <v>271</v>
      </c>
      <c r="C477" s="120" t="s">
        <v>62</v>
      </c>
      <c r="D477" s="120" t="s">
        <v>210</v>
      </c>
      <c r="E477" s="121">
        <v>1969</v>
      </c>
      <c r="F477" s="121">
        <v>2009</v>
      </c>
      <c r="G477" s="121" t="s">
        <v>43</v>
      </c>
      <c r="H477" s="121">
        <v>4</v>
      </c>
      <c r="I477" s="121">
        <v>4</v>
      </c>
      <c r="J477" s="107">
        <v>2719.1</v>
      </c>
      <c r="K477" s="107">
        <v>2454</v>
      </c>
      <c r="L477" s="107">
        <v>66.5</v>
      </c>
      <c r="M477" s="122">
        <v>120</v>
      </c>
      <c r="N477" s="123">
        <f t="shared" si="166"/>
        <v>6432710.1713439999</v>
      </c>
      <c r="O477" s="107"/>
      <c r="P477" s="108">
        <v>671332.45</v>
      </c>
      <c r="Q477" s="108"/>
      <c r="R477" s="108">
        <v>0</v>
      </c>
      <c r="S477" s="108">
        <f>+'Приложение №2'!E477-'Приложение №1'!R477-P477</f>
        <v>5761377.7213439997</v>
      </c>
      <c r="T477" s="107">
        <f>+'Приложение №2'!E477-'Приложение №1'!P477-'Приложение №1'!Q477-'Приложение №1'!R477-'Приложение №1'!S477</f>
        <v>0</v>
      </c>
      <c r="U477" s="108">
        <f t="shared" si="165"/>
        <v>2552.1563861709978</v>
      </c>
      <c r="V477" s="108">
        <f t="shared" si="165"/>
        <v>2552.1563861709978</v>
      </c>
      <c r="W477" s="135">
        <v>2023</v>
      </c>
      <c r="X477" s="28" t="e">
        <f>+#REF!-'[1]Приложение №1'!$P2022</f>
        <v>#REF!</v>
      </c>
      <c r="Z477" s="30">
        <f t="shared" si="163"/>
        <v>14067048.463401999</v>
      </c>
      <c r="AA477" s="26">
        <v>0</v>
      </c>
      <c r="AB477" s="26">
        <v>0</v>
      </c>
      <c r="AC477" s="26">
        <v>0</v>
      </c>
      <c r="AD477" s="26">
        <v>0</v>
      </c>
      <c r="AE477" s="26">
        <v>850099.92968124012</v>
      </c>
      <c r="AF477" s="26"/>
      <c r="AG477" s="26">
        <v>0</v>
      </c>
      <c r="AH477" s="26">
        <v>0</v>
      </c>
      <c r="AI477" s="26">
        <v>0</v>
      </c>
      <c r="AJ477" s="26">
        <v>0</v>
      </c>
      <c r="AK477" s="26">
        <v>6122487.8099999996</v>
      </c>
      <c r="AL477" s="26">
        <v>6280344.04</v>
      </c>
      <c r="AM477" s="26">
        <v>592071.17800000007</v>
      </c>
      <c r="AN477" s="31">
        <v>53956.358600000007</v>
      </c>
      <c r="AO477" s="32">
        <v>168089.14712076</v>
      </c>
      <c r="AP477" s="77">
        <f>+N477-'Приложение №2'!E477</f>
        <v>0</v>
      </c>
      <c r="AQ477" s="28">
        <f>882910.83-R200</f>
        <v>-280632.59999999998</v>
      </c>
      <c r="AR477" s="1">
        <f t="shared" si="170"/>
        <v>263874</v>
      </c>
      <c r="AS477" s="1">
        <f>+(K477*10+L477*20)*12*30-S200</f>
        <v>4210775.4186559999</v>
      </c>
      <c r="AT477" s="28">
        <f t="shared" si="171"/>
        <v>1550602.3026879998</v>
      </c>
    </row>
    <row r="478" spans="1:51" x14ac:dyDescent="0.25">
      <c r="A478" s="137">
        <f t="shared" si="172"/>
        <v>460</v>
      </c>
      <c r="B478" s="138">
        <f t="shared" si="172"/>
        <v>272</v>
      </c>
      <c r="C478" s="120" t="s">
        <v>62</v>
      </c>
      <c r="D478" s="120" t="s">
        <v>208</v>
      </c>
      <c r="E478" s="121">
        <v>1973</v>
      </c>
      <c r="F478" s="121">
        <v>2010</v>
      </c>
      <c r="G478" s="121" t="s">
        <v>43</v>
      </c>
      <c r="H478" s="121">
        <v>5</v>
      </c>
      <c r="I478" s="121">
        <v>4</v>
      </c>
      <c r="J478" s="107">
        <v>3449.3</v>
      </c>
      <c r="K478" s="107">
        <v>3117.4</v>
      </c>
      <c r="L478" s="107">
        <v>171.7</v>
      </c>
      <c r="M478" s="122">
        <v>147</v>
      </c>
      <c r="N478" s="133">
        <f t="shared" si="166"/>
        <v>6210065.9474952389</v>
      </c>
      <c r="O478" s="107"/>
      <c r="P478" s="108">
        <v>2605661.0315339789</v>
      </c>
      <c r="Q478" s="108"/>
      <c r="R478" s="108">
        <f>+AQ478+AR478</f>
        <v>621865.63000000012</v>
      </c>
      <c r="S478" s="108">
        <f>+'Приложение №2'!E478-'Приложение №1'!P478-'Приложение №1'!Q478-'Приложение №1'!R478</f>
        <v>2982539.2859612601</v>
      </c>
      <c r="T478" s="108">
        <f>+'Приложение №2'!E478-'Приложение №1'!P478-'Приложение №1'!Q478-'Приложение №1'!R478-'Приложение №1'!S478</f>
        <v>0</v>
      </c>
      <c r="U478" s="107">
        <f t="shared" si="165"/>
        <v>1888.0745333055361</v>
      </c>
      <c r="V478" s="107">
        <f t="shared" si="165"/>
        <v>1888.0745333055361</v>
      </c>
      <c r="W478" s="135">
        <v>2023</v>
      </c>
      <c r="X478" s="28" t="e">
        <f>+#REF!-'[1]Приложение №1'!$P1584</f>
        <v>#REF!</v>
      </c>
      <c r="Z478" s="30">
        <f t="shared" si="163"/>
        <v>17920574.470533662</v>
      </c>
      <c r="AA478" s="26"/>
      <c r="AB478" s="26">
        <v>0</v>
      </c>
      <c r="AC478" s="26">
        <v>0</v>
      </c>
      <c r="AD478" s="26">
        <v>0</v>
      </c>
      <c r="AE478" s="26">
        <v>1035545.4729408602</v>
      </c>
      <c r="AF478" s="26"/>
      <c r="AG478" s="26">
        <v>0</v>
      </c>
      <c r="AH478" s="26">
        <v>0</v>
      </c>
      <c r="AI478" s="26">
        <v>0</v>
      </c>
      <c r="AJ478" s="26">
        <v>0</v>
      </c>
      <c r="AK478" s="26">
        <v>6731411.6906387396</v>
      </c>
      <c r="AL478" s="26">
        <v>6947141.1784660202</v>
      </c>
      <c r="AM478" s="26">
        <v>2528780.7582</v>
      </c>
      <c r="AN478" s="31">
        <v>234660.19320000001</v>
      </c>
      <c r="AO478" s="32">
        <v>443035.17708804004</v>
      </c>
      <c r="AP478" s="77">
        <f>+N478-'Приложение №2'!E478</f>
        <v>0</v>
      </c>
      <c r="AQ478" s="1">
        <f>1240910.11-689425.44-282620.64</f>
        <v>268864.03000000014</v>
      </c>
      <c r="AR478" s="1">
        <f t="shared" si="170"/>
        <v>353001.6</v>
      </c>
      <c r="AS478" s="1">
        <f>+(K478*10+L478*20)*12*30-3027646.57-12468.88</f>
        <v>9418764.5499999989</v>
      </c>
      <c r="AT478" s="28">
        <f t="shared" si="171"/>
        <v>-6436225.2640387388</v>
      </c>
      <c r="AU478" s="28">
        <f>+P478-'[6]Приложение №1'!$P455</f>
        <v>0</v>
      </c>
      <c r="AV478" s="28">
        <f>+Q478-'[6]Приложение №1'!$Q455</f>
        <v>0</v>
      </c>
      <c r="AW478" s="28">
        <f>+R478-'[6]Приложение №1'!$R455</f>
        <v>0</v>
      </c>
      <c r="AX478" s="28">
        <f>+S478-'[6]Приложение №1'!$S455</f>
        <v>0</v>
      </c>
      <c r="AY478" s="28">
        <f>+T478-'[6]Приложение №1'!$T455</f>
        <v>0</v>
      </c>
    </row>
    <row r="479" spans="1:51" x14ac:dyDescent="0.25">
      <c r="A479" s="137">
        <f t="shared" si="172"/>
        <v>461</v>
      </c>
      <c r="B479" s="138">
        <f t="shared" si="172"/>
        <v>273</v>
      </c>
      <c r="C479" s="120" t="s">
        <v>62</v>
      </c>
      <c r="D479" s="120" t="s">
        <v>720</v>
      </c>
      <c r="E479" s="121">
        <v>1985</v>
      </c>
      <c r="F479" s="121">
        <v>2011</v>
      </c>
      <c r="G479" s="121" t="s">
        <v>43</v>
      </c>
      <c r="H479" s="121">
        <v>5</v>
      </c>
      <c r="I479" s="121">
        <v>2</v>
      </c>
      <c r="J479" s="107">
        <v>1696.6</v>
      </c>
      <c r="K479" s="107">
        <v>1532.2</v>
      </c>
      <c r="L479" s="107">
        <v>54.4</v>
      </c>
      <c r="M479" s="122">
        <v>58</v>
      </c>
      <c r="N479" s="133">
        <f t="shared" si="166"/>
        <v>340500.39751072001</v>
      </c>
      <c r="O479" s="107"/>
      <c r="P479" s="108">
        <v>0</v>
      </c>
      <c r="Q479" s="108"/>
      <c r="R479" s="108">
        <f>+AQ479+AR479</f>
        <v>0</v>
      </c>
      <c r="S479" s="108">
        <f>+'Приложение №2'!E479-'Приложение №1'!R479</f>
        <v>340500.39751072001</v>
      </c>
      <c r="T479" s="107">
        <f>+'Приложение №2'!E479-'Приложение №1'!P479-'Приложение №1'!Q479-'Приложение №1'!R479-'Приложение №1'!S479</f>
        <v>0</v>
      </c>
      <c r="U479" s="108">
        <f t="shared" si="165"/>
        <v>214.61010809953359</v>
      </c>
      <c r="V479" s="108">
        <f t="shared" si="165"/>
        <v>214.61010809953359</v>
      </c>
      <c r="W479" s="135">
        <v>2023</v>
      </c>
      <c r="X479" s="28" t="e">
        <f>+#REF!-'[1]Приложение №1'!$P1177</f>
        <v>#REF!</v>
      </c>
      <c r="Z479" s="30">
        <f t="shared" si="163"/>
        <v>6417929.1893379986</v>
      </c>
      <c r="AA479" s="26">
        <v>2736613.7104324196</v>
      </c>
      <c r="AB479" s="26">
        <v>0</v>
      </c>
      <c r="AC479" s="26">
        <v>1280803.3788694199</v>
      </c>
      <c r="AD479" s="26">
        <v>849765.59</v>
      </c>
      <c r="AE479" s="26">
        <v>511029.86662728002</v>
      </c>
      <c r="AF479" s="26"/>
      <c r="AG479" s="26">
        <v>140523.24640871998</v>
      </c>
      <c r="AH479" s="26">
        <v>0</v>
      </c>
      <c r="AI479" s="26">
        <v>0</v>
      </c>
      <c r="AJ479" s="26">
        <v>0</v>
      </c>
      <c r="AK479" s="26">
        <v>0</v>
      </c>
      <c r="AL479" s="26">
        <v>0</v>
      </c>
      <c r="AM479" s="26">
        <v>731735.25000000012</v>
      </c>
      <c r="AN479" s="31">
        <v>56969.515600000006</v>
      </c>
      <c r="AO479" s="32">
        <v>110488.63140016003</v>
      </c>
      <c r="AP479" s="77">
        <f>+N479-'Приложение №2'!E479</f>
        <v>0</v>
      </c>
      <c r="AQ479" s="28">
        <f>660207.23-R198</f>
        <v>-167382</v>
      </c>
      <c r="AR479" s="1">
        <f t="shared" si="170"/>
        <v>167382</v>
      </c>
      <c r="AS479" s="1">
        <f>+(K479*10+L479*20)*12*30-S198</f>
        <v>5556218.7424892802</v>
      </c>
      <c r="AT479" s="28">
        <f t="shared" si="171"/>
        <v>-5215718.3449785598</v>
      </c>
      <c r="AU479" s="28">
        <f>+P479-'[6]Приложение №1'!$P456</f>
        <v>0</v>
      </c>
      <c r="AV479" s="28">
        <f>+Q479-'[6]Приложение №1'!$Q456</f>
        <v>0</v>
      </c>
      <c r="AW479" s="28">
        <f>+R479-'[6]Приложение №1'!$R456</f>
        <v>0</v>
      </c>
      <c r="AX479" s="28">
        <f>+S479-'[6]Приложение №1'!$S456</f>
        <v>0</v>
      </c>
      <c r="AY479" s="28">
        <f>+T479-'[6]Приложение №1'!$T456</f>
        <v>0</v>
      </c>
    </row>
    <row r="480" spans="1:51" x14ac:dyDescent="0.25">
      <c r="A480" s="137">
        <f t="shared" si="172"/>
        <v>462</v>
      </c>
      <c r="B480" s="138">
        <f t="shared" si="172"/>
        <v>274</v>
      </c>
      <c r="C480" s="120" t="s">
        <v>62</v>
      </c>
      <c r="D480" s="120" t="s">
        <v>209</v>
      </c>
      <c r="E480" s="121">
        <v>1970</v>
      </c>
      <c r="F480" s="121">
        <v>2010</v>
      </c>
      <c r="G480" s="121" t="s">
        <v>43</v>
      </c>
      <c r="H480" s="121">
        <v>5</v>
      </c>
      <c r="I480" s="121">
        <v>4</v>
      </c>
      <c r="J480" s="107">
        <v>3258</v>
      </c>
      <c r="K480" s="107">
        <v>3018.9</v>
      </c>
      <c r="L480" s="107">
        <v>0</v>
      </c>
      <c r="M480" s="122">
        <v>132</v>
      </c>
      <c r="N480" s="133">
        <f t="shared" si="166"/>
        <v>13274787.34</v>
      </c>
      <c r="O480" s="107"/>
      <c r="P480" s="108">
        <v>2067746.9300000002</v>
      </c>
      <c r="Q480" s="108"/>
      <c r="R480" s="108">
        <f>+AQ480+AR480</f>
        <v>652968.09999999986</v>
      </c>
      <c r="S480" s="108">
        <f>+'Приложение №2'!E480-'Приложение №1'!P480-'Приложение №1'!Q480-'Приложение №1'!R480</f>
        <v>10554072.310000001</v>
      </c>
      <c r="T480" s="107">
        <f>+'Приложение №2'!E480-'Приложение №1'!P480-'Приложение №1'!Q480-'Приложение №1'!R480-'Приложение №1'!S480</f>
        <v>0</v>
      </c>
      <c r="U480" s="108">
        <f t="shared" si="165"/>
        <v>4397.2265858425253</v>
      </c>
      <c r="V480" s="108">
        <f t="shared" si="165"/>
        <v>4397.2265858425253</v>
      </c>
      <c r="W480" s="135">
        <v>2023</v>
      </c>
      <c r="X480" s="28" t="e">
        <f>+#REF!-'[1]Приложение №1'!$P1583</f>
        <v>#REF!</v>
      </c>
      <c r="Z480" s="30">
        <f t="shared" si="163"/>
        <v>13575281.439999999</v>
      </c>
      <c r="AA480" s="26">
        <v>0</v>
      </c>
      <c r="AB480" s="26">
        <v>0</v>
      </c>
      <c r="AC480" s="26">
        <v>0</v>
      </c>
      <c r="AD480" s="26">
        <v>0</v>
      </c>
      <c r="AE480" s="26">
        <v>0</v>
      </c>
      <c r="AF480" s="26"/>
      <c r="AG480" s="26">
        <v>0</v>
      </c>
      <c r="AH480" s="26">
        <v>0</v>
      </c>
      <c r="AI480" s="26">
        <v>0</v>
      </c>
      <c r="AJ480" s="26">
        <v>0</v>
      </c>
      <c r="AK480" s="26">
        <v>7231455.4199999999</v>
      </c>
      <c r="AL480" s="26">
        <v>5881945.1900000004</v>
      </c>
      <c r="AM480" s="26">
        <f>139621.27+118844.77</f>
        <v>258466.03999999998</v>
      </c>
      <c r="AN480" s="31">
        <f>5000+37028.06</f>
        <v>42028.06</v>
      </c>
      <c r="AO480" s="32">
        <f>88997.58+72389.15</f>
        <v>161386.72999999998</v>
      </c>
      <c r="AP480" s="77">
        <f>+N480-'Приложение №2'!E480</f>
        <v>0</v>
      </c>
      <c r="AQ480" s="1">
        <f>1025494.69-680454.39</f>
        <v>345040.29999999993</v>
      </c>
      <c r="AR480" s="1">
        <f t="shared" si="170"/>
        <v>307927.8</v>
      </c>
      <c r="AS480" s="1">
        <f>+(K480*10+L480*20)*12*30-16805.39</f>
        <v>10851234.609999999</v>
      </c>
      <c r="AT480" s="28">
        <f t="shared" si="171"/>
        <v>-297162.29999999888</v>
      </c>
      <c r="AU480" s="28">
        <f>+P480-'[6]Приложение №1'!$P457</f>
        <v>0</v>
      </c>
      <c r="AV480" s="28">
        <f>+Q480-'[6]Приложение №1'!$Q457</f>
        <v>0</v>
      </c>
      <c r="AW480" s="28">
        <f>+R480-'[6]Приложение №1'!$R457</f>
        <v>0</v>
      </c>
      <c r="AX480" s="28">
        <f>+S480-'[6]Приложение №1'!$S457</f>
        <v>0</v>
      </c>
      <c r="AY480" s="28">
        <f>+T480-'[6]Приложение №1'!$T457</f>
        <v>0</v>
      </c>
    </row>
    <row r="481" spans="1:51" s="54" customFormat="1" x14ac:dyDescent="0.25">
      <c r="D481" s="55">
        <v>2024</v>
      </c>
      <c r="E481" s="58"/>
      <c r="F481" s="58"/>
      <c r="G481" s="58"/>
      <c r="H481" s="58"/>
      <c r="I481" s="58"/>
      <c r="J481" s="59">
        <f>SUM(J482:J753)</f>
        <v>1077547.7000000009</v>
      </c>
      <c r="K481" s="59">
        <f>SUM(K482:K753)</f>
        <v>886241.35</v>
      </c>
      <c r="L481" s="59">
        <f>SUM(L482:L753)</f>
        <v>45559.950000000004</v>
      </c>
      <c r="M481" s="59">
        <f>SUM(M482:M753)</f>
        <v>37785</v>
      </c>
      <c r="N481" s="59">
        <f t="shared" ref="N481:N494" si="173">SUM(O481:T481)</f>
        <v>3884331013.8111639</v>
      </c>
      <c r="O481" s="59">
        <f t="shared" ref="O481:T481" si="174">SUM(O482:O753)</f>
        <v>0</v>
      </c>
      <c r="P481" s="59">
        <f t="shared" si="174"/>
        <v>444755619.99903315</v>
      </c>
      <c r="Q481" s="59">
        <f t="shared" si="174"/>
        <v>0</v>
      </c>
      <c r="R481" s="59">
        <f t="shared" si="174"/>
        <v>447247492.75669748</v>
      </c>
      <c r="S481" s="59">
        <f t="shared" si="174"/>
        <v>1742773504.762691</v>
      </c>
      <c r="T481" s="59">
        <f t="shared" si="174"/>
        <v>1249554396.2927423</v>
      </c>
      <c r="U481" s="65"/>
      <c r="V481" s="65"/>
      <c r="W481" s="61"/>
      <c r="AP481" s="77">
        <f>+N481-'Приложение №2'!E481</f>
        <v>0</v>
      </c>
      <c r="AT481" s="28">
        <f t="shared" si="171"/>
        <v>1742773504.762691</v>
      </c>
    </row>
    <row r="482" spans="1:51" s="34" customFormat="1" x14ac:dyDescent="0.25">
      <c r="A482" s="137">
        <f>+A480+1</f>
        <v>463</v>
      </c>
      <c r="B482" s="138">
        <f t="shared" ref="B482" si="175">+B481+1</f>
        <v>1</v>
      </c>
      <c r="C482" s="120" t="s">
        <v>48</v>
      </c>
      <c r="D482" s="120" t="s">
        <v>372</v>
      </c>
      <c r="E482" s="121" t="s">
        <v>122</v>
      </c>
      <c r="F482" s="121"/>
      <c r="G482" s="121" t="s">
        <v>83</v>
      </c>
      <c r="H482" s="121" t="s">
        <v>94</v>
      </c>
      <c r="I482" s="121" t="s">
        <v>97</v>
      </c>
      <c r="J482" s="107">
        <v>11221.5</v>
      </c>
      <c r="K482" s="107">
        <v>7503.7</v>
      </c>
      <c r="L482" s="107">
        <v>56.5</v>
      </c>
      <c r="M482" s="122">
        <v>285</v>
      </c>
      <c r="N482" s="123">
        <f t="shared" si="173"/>
        <v>10774080</v>
      </c>
      <c r="O482" s="107">
        <v>0</v>
      </c>
      <c r="P482" s="108"/>
      <c r="Q482" s="108">
        <v>0</v>
      </c>
      <c r="R482" s="108">
        <f>+AQ482+AR482</f>
        <v>5412177.9005999994</v>
      </c>
      <c r="S482" s="108">
        <f>+'Приложение №2'!E482-'Приложение №1'!R482</f>
        <v>5361902.0994000006</v>
      </c>
      <c r="T482" s="108">
        <v>0</v>
      </c>
      <c r="U482" s="108">
        <f t="shared" ref="U482:U494" si="176">N482/K482</f>
        <v>1435.8356544104909</v>
      </c>
      <c r="V482" s="108">
        <v>1172.2830200640003</v>
      </c>
      <c r="W482" s="135">
        <v>2024</v>
      </c>
      <c r="X482" s="34">
        <v>3494459.14</v>
      </c>
      <c r="Y482" s="34">
        <f>+(K482*12.08+L482*20.47)*12</f>
        <v>1101615.0119999999</v>
      </c>
      <c r="AA482" s="35">
        <f>+N482-'[5]Приложение № 2'!E422</f>
        <v>-8105802.6000000015</v>
      </c>
      <c r="AD482" s="35">
        <f>+N482-'[5]Приложение № 2'!E422</f>
        <v>-8105802.6000000015</v>
      </c>
      <c r="AP482" s="77">
        <f>+N482-'Приложение №2'!E482</f>
        <v>0</v>
      </c>
      <c r="AQ482" s="34">
        <v>4382013.0599999996</v>
      </c>
      <c r="AR482" s="1">
        <f>+(K482*13.29+L482*22.52)*12*0.85</f>
        <v>1030164.8405999999</v>
      </c>
      <c r="AS482" s="1">
        <f>+(K482*13.29+L482*22.52)*12*30</f>
        <v>36358759.079999998</v>
      </c>
      <c r="AT482" s="28">
        <f t="shared" si="171"/>
        <v>-30996856.980599999</v>
      </c>
      <c r="AU482" s="28">
        <f>+P482-'[6]Приложение №1'!$P459</f>
        <v>0</v>
      </c>
      <c r="AV482" s="28">
        <f>+Q482-'[6]Приложение №1'!$Q459</f>
        <v>0</v>
      </c>
      <c r="AW482" s="28">
        <f>+R482-'[6]Приложение №1'!$R459</f>
        <v>0</v>
      </c>
      <c r="AX482" s="28">
        <f>+S482-'[6]Приложение №1'!$S459</f>
        <v>0</v>
      </c>
      <c r="AY482" s="28">
        <f>+T482-'[6]Приложение №1'!$T459</f>
        <v>0</v>
      </c>
    </row>
    <row r="483" spans="1:51" s="37" customFormat="1" x14ac:dyDescent="0.25">
      <c r="A483" s="139">
        <f>+A482+1</f>
        <v>464</v>
      </c>
      <c r="B483" s="140">
        <f>+B482+1</f>
        <v>2</v>
      </c>
      <c r="C483" s="120" t="s">
        <v>48</v>
      </c>
      <c r="D483" s="120" t="s">
        <v>373</v>
      </c>
      <c r="E483" s="121">
        <v>1993</v>
      </c>
      <c r="F483" s="121">
        <v>2013</v>
      </c>
      <c r="G483" s="121" t="s">
        <v>83</v>
      </c>
      <c r="H483" s="121">
        <v>9</v>
      </c>
      <c r="I483" s="121">
        <v>1</v>
      </c>
      <c r="J483" s="107">
        <v>4027.7</v>
      </c>
      <c r="K483" s="107">
        <v>2671.9</v>
      </c>
      <c r="L483" s="107">
        <v>0</v>
      </c>
      <c r="M483" s="122">
        <v>88</v>
      </c>
      <c r="N483" s="123">
        <f t="shared" si="173"/>
        <v>4549017.9478423689</v>
      </c>
      <c r="O483" s="107"/>
      <c r="P483" s="108"/>
      <c r="Q483" s="108"/>
      <c r="R483" s="108">
        <f t="shared" ref="R483:R491" si="177">+AQ483+AR483</f>
        <v>1171287.6801999998</v>
      </c>
      <c r="S483" s="108">
        <f>+'Приложение №2'!E483-'Приложение №1'!R483</f>
        <v>3377730.267642369</v>
      </c>
      <c r="T483" s="108">
        <v>0</v>
      </c>
      <c r="U483" s="108">
        <f t="shared" si="176"/>
        <v>1702.5404947200002</v>
      </c>
      <c r="V483" s="108">
        <v>1174.2830200640001</v>
      </c>
      <c r="W483" s="135">
        <v>2024</v>
      </c>
      <c r="X483" s="28" t="e">
        <f>+#REF!-'[1]Приложение №1'!$P358</f>
        <v>#REF!</v>
      </c>
      <c r="Z483" s="30">
        <f>SUM(AA483:AO483)</f>
        <v>5182418.4879168002</v>
      </c>
      <c r="AA483" s="26">
        <v>0</v>
      </c>
      <c r="AB483" s="26">
        <v>0</v>
      </c>
      <c r="AC483" s="26">
        <v>0</v>
      </c>
      <c r="AD483" s="26">
        <v>0</v>
      </c>
      <c r="AE483" s="26">
        <v>0</v>
      </c>
      <c r="AF483" s="26"/>
      <c r="AG483" s="26">
        <v>0</v>
      </c>
      <c r="AH483" s="26">
        <v>0</v>
      </c>
      <c r="AI483" s="26">
        <v>0</v>
      </c>
      <c r="AJ483" s="26">
        <v>4513648.1117250882</v>
      </c>
      <c r="AK483" s="26">
        <v>0</v>
      </c>
      <c r="AL483" s="26">
        <v>0</v>
      </c>
      <c r="AM483" s="26">
        <v>518241.84879168007</v>
      </c>
      <c r="AN483" s="31">
        <v>51824.184879168002</v>
      </c>
      <c r="AO483" s="32">
        <v>98704.342520863371</v>
      </c>
      <c r="AP483" s="77">
        <f>+N483-'Приложение №2'!E483</f>
        <v>0</v>
      </c>
      <c r="AQ483" s="37">
        <f>1639601.14-830510.88</f>
        <v>809090.25999999989</v>
      </c>
      <c r="AR483" s="1">
        <f>+(K483*13.29+L483*22.52)*12*0.85</f>
        <v>362197.42019999993</v>
      </c>
      <c r="AS483" s="1">
        <f>+(K483*13.29+L483*22.52)*12*30-2624808.09</f>
        <v>10158630.27</v>
      </c>
      <c r="AT483" s="28">
        <f t="shared" si="171"/>
        <v>-6780900.0023576301</v>
      </c>
      <c r="AU483" s="28">
        <f>+P483-'[6]Приложение №1'!$P461</f>
        <v>0</v>
      </c>
      <c r="AV483" s="28">
        <f>+Q483-'[6]Приложение №1'!$Q461</f>
        <v>0</v>
      </c>
      <c r="AW483" s="28">
        <f>+R483-'[6]Приложение №1'!$R461</f>
        <v>0</v>
      </c>
      <c r="AX483" s="28">
        <f>+S483-'[6]Приложение №1'!$S461</f>
        <v>-63334.506403583102</v>
      </c>
      <c r="AY483" s="28">
        <f>+T483-'[6]Приложение №1'!$T461</f>
        <v>0</v>
      </c>
    </row>
    <row r="484" spans="1:51" s="37" customFormat="1" x14ac:dyDescent="0.25">
      <c r="A484" s="139">
        <f t="shared" ref="A484:A547" si="178">+A483+1</f>
        <v>465</v>
      </c>
      <c r="B484" s="140">
        <f t="shared" ref="B484:B547" si="179">+B483+1</f>
        <v>3</v>
      </c>
      <c r="C484" s="120" t="s">
        <v>48</v>
      </c>
      <c r="D484" s="120" t="s">
        <v>374</v>
      </c>
      <c r="E484" s="121">
        <v>1993</v>
      </c>
      <c r="F484" s="121">
        <v>2013</v>
      </c>
      <c r="G484" s="121" t="s">
        <v>83</v>
      </c>
      <c r="H484" s="121">
        <v>9</v>
      </c>
      <c r="I484" s="121">
        <v>1</v>
      </c>
      <c r="J484" s="107">
        <v>4065.2</v>
      </c>
      <c r="K484" s="107">
        <v>2714.9</v>
      </c>
      <c r="L484" s="107">
        <v>0</v>
      </c>
      <c r="M484" s="122">
        <v>97</v>
      </c>
      <c r="N484" s="123">
        <f t="shared" si="173"/>
        <v>4987479.0332189836</v>
      </c>
      <c r="O484" s="107"/>
      <c r="P484" s="108"/>
      <c r="Q484" s="108"/>
      <c r="R484" s="108">
        <f t="shared" si="177"/>
        <v>589325.33340000012</v>
      </c>
      <c r="S484" s="108">
        <f>+'Приложение №2'!E484-'Приложение №1'!R484</f>
        <v>4398153.6998189837</v>
      </c>
      <c r="T484" s="108">
        <v>0</v>
      </c>
      <c r="U484" s="108">
        <f t="shared" si="176"/>
        <v>1837.0765159744312</v>
      </c>
      <c r="V484" s="108">
        <v>1175.2830200640001</v>
      </c>
      <c r="W484" s="135">
        <v>2024</v>
      </c>
      <c r="X484" s="28" t="e">
        <f>+#REF!-'[1]Приложение №1'!$P359</f>
        <v>#REF!</v>
      </c>
      <c r="Z484" s="30">
        <f>SUM(AA484:AO484)</f>
        <v>7671098.7621156182</v>
      </c>
      <c r="AA484" s="26">
        <v>0</v>
      </c>
      <c r="AB484" s="26">
        <v>0</v>
      </c>
      <c r="AC484" s="26">
        <v>0</v>
      </c>
      <c r="AD484" s="26">
        <v>0</v>
      </c>
      <c r="AE484" s="26">
        <v>0</v>
      </c>
      <c r="AF484" s="26"/>
      <c r="AG484" s="26">
        <v>0</v>
      </c>
      <c r="AH484" s="26">
        <v>0</v>
      </c>
      <c r="AI484" s="26">
        <v>0</v>
      </c>
      <c r="AJ484" s="26">
        <v>4524977.6333963946</v>
      </c>
      <c r="AK484" s="26"/>
      <c r="AL484" s="26">
        <v>0</v>
      </c>
      <c r="AM484" s="26">
        <v>2437984.2294369629</v>
      </c>
      <c r="AN484" s="31">
        <v>243798.42294369626</v>
      </c>
      <c r="AO484" s="32">
        <v>464338.47633856395</v>
      </c>
      <c r="AP484" s="77">
        <f>+N484-'Приложение №2'!E484</f>
        <v>0</v>
      </c>
      <c r="AQ484" s="37">
        <f>1655027.12-955818.8-238954.7-238954.7008</f>
        <v>221298.91920000006</v>
      </c>
      <c r="AR484" s="1">
        <f>+(K484*13.29+L484*22.52)*12*0.85</f>
        <v>368026.4142</v>
      </c>
      <c r="AS484" s="1">
        <f>+(K484*13.29+L484*22.52)*12*30-785411.714-946514.09-915077.42</f>
        <v>10342164.335999999</v>
      </c>
      <c r="AT484" s="28">
        <f t="shared" si="171"/>
        <v>-5944010.6361810155</v>
      </c>
      <c r="AU484" s="28">
        <f>+P484-'[6]Приложение №1'!$P462</f>
        <v>0</v>
      </c>
      <c r="AV484" s="28">
        <f>+Q484-'[6]Приложение №1'!$Q462</f>
        <v>0</v>
      </c>
      <c r="AW484" s="28">
        <f>+R484-'[6]Приложение №1'!$R462</f>
        <v>0</v>
      </c>
      <c r="AX484" s="28">
        <f>+S484-'[6]Приложение №1'!$S462</f>
        <v>-1837.0765159744769</v>
      </c>
      <c r="AY484" s="28">
        <f>+T484-'[6]Приложение №1'!$T462</f>
        <v>0</v>
      </c>
    </row>
    <row r="485" spans="1:51" s="38" customFormat="1" x14ac:dyDescent="0.25">
      <c r="A485" s="139">
        <f t="shared" si="178"/>
        <v>466</v>
      </c>
      <c r="B485" s="140">
        <f t="shared" si="179"/>
        <v>4</v>
      </c>
      <c r="C485" s="120" t="s">
        <v>48</v>
      </c>
      <c r="D485" s="120" t="s">
        <v>375</v>
      </c>
      <c r="E485" s="121">
        <v>1991</v>
      </c>
      <c r="F485" s="121">
        <v>2015</v>
      </c>
      <c r="G485" s="121" t="s">
        <v>83</v>
      </c>
      <c r="H485" s="121">
        <v>5</v>
      </c>
      <c r="I485" s="121">
        <v>5</v>
      </c>
      <c r="J485" s="107">
        <v>11474.2</v>
      </c>
      <c r="K485" s="107">
        <v>7084.2</v>
      </c>
      <c r="L485" s="107">
        <v>82.6</v>
      </c>
      <c r="M485" s="122">
        <v>178</v>
      </c>
      <c r="N485" s="123">
        <f t="shared" si="173"/>
        <v>10970962.953807998</v>
      </c>
      <c r="O485" s="107"/>
      <c r="P485" s="108"/>
      <c r="Q485" s="108"/>
      <c r="R485" s="108">
        <f t="shared" si="177"/>
        <v>4370409.08</v>
      </c>
      <c r="S485" s="108">
        <f>+'Приложение №2'!E485-'Приложение №1'!R485</f>
        <v>6600553.8738079984</v>
      </c>
      <c r="T485" s="108">
        <v>0</v>
      </c>
      <c r="U485" s="108">
        <f t="shared" si="176"/>
        <v>1548.6523466034271</v>
      </c>
      <c r="V485" s="108">
        <v>1176.2830200640001</v>
      </c>
      <c r="W485" s="135">
        <v>2024</v>
      </c>
      <c r="X485" s="28" t="e">
        <f>+#REF!-'[1]Приложение №1'!$P360</f>
        <v>#REF!</v>
      </c>
      <c r="Z485" s="30">
        <f>SUM(AA485:AO485)</f>
        <v>12331740.678400001</v>
      </c>
      <c r="AA485" s="26">
        <v>0</v>
      </c>
      <c r="AB485" s="26">
        <v>0</v>
      </c>
      <c r="AC485" s="26">
        <v>0</v>
      </c>
      <c r="AD485" s="26">
        <v>0</v>
      </c>
      <c r="AE485" s="26">
        <v>0</v>
      </c>
      <c r="AF485" s="26"/>
      <c r="AG485" s="26">
        <v>0</v>
      </c>
      <c r="AH485" s="26">
        <v>0</v>
      </c>
      <c r="AI485" s="26">
        <v>0</v>
      </c>
      <c r="AJ485" s="26">
        <v>10740378.870815193</v>
      </c>
      <c r="AK485" s="26">
        <v>0</v>
      </c>
      <c r="AL485" s="26">
        <v>0</v>
      </c>
      <c r="AM485" s="26">
        <v>1233174.0678400001</v>
      </c>
      <c r="AN485" s="31">
        <v>123317.40678400001</v>
      </c>
      <c r="AO485" s="32">
        <v>234870.33296080641</v>
      </c>
      <c r="AP485" s="77">
        <f>+N485-'Приложение №2'!E485</f>
        <v>0</v>
      </c>
      <c r="AQ485" s="38">
        <v>3630970.28</v>
      </c>
      <c r="AR485" s="1">
        <f>+(K485*10+L485*20)*12*0.85</f>
        <v>739438.79999999993</v>
      </c>
      <c r="AS485" s="1">
        <f>+(K485*10+L485*20)*12*30</f>
        <v>26097840</v>
      </c>
      <c r="AT485" s="28">
        <f t="shared" si="171"/>
        <v>-19497286.126192003</v>
      </c>
      <c r="AU485" s="28">
        <f>+P485-'[6]Приложение №1'!$P463</f>
        <v>0</v>
      </c>
      <c r="AV485" s="28">
        <f>+Q485-'[6]Приложение №1'!$Q463</f>
        <v>0</v>
      </c>
      <c r="AW485" s="28">
        <f>+R485-'[6]Приложение №1'!$R463</f>
        <v>0</v>
      </c>
      <c r="AX485" s="28">
        <f>+S485-'[6]Приложение №1'!$S463</f>
        <v>-4286.249968001619</v>
      </c>
      <c r="AY485" s="28">
        <f>+T485-'[6]Приложение №1'!$T463</f>
        <v>0</v>
      </c>
    </row>
    <row r="486" spans="1:51" s="38" customFormat="1" x14ac:dyDescent="0.25">
      <c r="A486" s="139">
        <f t="shared" si="178"/>
        <v>467</v>
      </c>
      <c r="B486" s="140">
        <f t="shared" si="179"/>
        <v>5</v>
      </c>
      <c r="C486" s="120" t="s">
        <v>48</v>
      </c>
      <c r="D486" s="120" t="s">
        <v>376</v>
      </c>
      <c r="E486" s="121">
        <v>1993</v>
      </c>
      <c r="F486" s="121">
        <v>2013</v>
      </c>
      <c r="G486" s="121" t="s">
        <v>83</v>
      </c>
      <c r="H486" s="121">
        <v>9</v>
      </c>
      <c r="I486" s="121">
        <v>5</v>
      </c>
      <c r="J486" s="107">
        <v>19441.7</v>
      </c>
      <c r="K486" s="107">
        <v>13182.1</v>
      </c>
      <c r="L486" s="107">
        <v>0</v>
      </c>
      <c r="M486" s="122">
        <v>478</v>
      </c>
      <c r="N486" s="123">
        <f t="shared" si="173"/>
        <v>31981431.630043589</v>
      </c>
      <c r="O486" s="107"/>
      <c r="P486" s="108"/>
      <c r="Q486" s="108"/>
      <c r="R486" s="108">
        <f t="shared" si="177"/>
        <v>3475803.7290000003</v>
      </c>
      <c r="S486" s="108">
        <f>+'Приложение №2'!E486-'Приложение №1'!R486</f>
        <v>28505627.901043586</v>
      </c>
      <c r="T486" s="108">
        <v>0</v>
      </c>
      <c r="U486" s="108">
        <f t="shared" si="176"/>
        <v>2426.1257030400002</v>
      </c>
      <c r="V486" s="108">
        <v>1177.2830200640001</v>
      </c>
      <c r="W486" s="135">
        <v>2024</v>
      </c>
      <c r="X486" s="28" t="e">
        <f>+#REF!-'[1]Приложение №1'!$P361</f>
        <v>#REF!</v>
      </c>
      <c r="Z486" s="30">
        <f>SUM(AA486:AO486)</f>
        <v>35897392.059609599</v>
      </c>
      <c r="AA486" s="26">
        <v>0</v>
      </c>
      <c r="AB486" s="26">
        <v>0</v>
      </c>
      <c r="AC486" s="26">
        <v>9324692.0449531022</v>
      </c>
      <c r="AD486" s="26">
        <v>0</v>
      </c>
      <c r="AE486" s="26">
        <v>0</v>
      </c>
      <c r="AF486" s="26"/>
      <c r="AG486" s="26">
        <v>0</v>
      </c>
      <c r="AH486" s="26">
        <v>0</v>
      </c>
      <c r="AI486" s="26">
        <v>0</v>
      </c>
      <c r="AJ486" s="26">
        <v>21940285.15893212</v>
      </c>
      <c r="AK486" s="26">
        <v>0</v>
      </c>
      <c r="AL486" s="26">
        <v>0</v>
      </c>
      <c r="AM486" s="26">
        <v>3589739.2059609606</v>
      </c>
      <c r="AN486" s="31">
        <v>358973.92059609608</v>
      </c>
      <c r="AO486" s="32">
        <v>683701.72916732461</v>
      </c>
      <c r="AP486" s="77">
        <f>+N486-'Приложение №2'!E486</f>
        <v>0</v>
      </c>
      <c r="AQ486" s="38">
        <f>8212024.3-4892369.7628-1630789.92</f>
        <v>1688864.6172000002</v>
      </c>
      <c r="AR486" s="1">
        <f>+(K486*13.29+L486*22.52)*12*0.85</f>
        <v>1786939.1118000001</v>
      </c>
      <c r="AS486" s="1">
        <f>+(K486*13.29+L486*22.52)*12*30-2885417.2772-5487600.1</f>
        <v>54695421.86280001</v>
      </c>
      <c r="AT486" s="28">
        <f t="shared" si="171"/>
        <v>-26189793.961756423</v>
      </c>
      <c r="AU486" s="28">
        <f>+P486-'[6]Приложение №1'!$P464</f>
        <v>0</v>
      </c>
      <c r="AV486" s="28">
        <f>+Q486-'[6]Приложение №1'!$Q464</f>
        <v>0</v>
      </c>
      <c r="AW486" s="28">
        <f>+R486-'[6]Приложение №1'!$R464</f>
        <v>0</v>
      </c>
      <c r="AX486" s="28">
        <f>+S486-'[6]Приложение №1'!$S464</f>
        <v>32752.696991041303</v>
      </c>
      <c r="AY486" s="28">
        <f>+T486-'[6]Приложение №1'!$T464</f>
        <v>0</v>
      </c>
    </row>
    <row r="487" spans="1:51" s="34" customFormat="1" x14ac:dyDescent="0.25">
      <c r="A487" s="139">
        <f t="shared" si="178"/>
        <v>468</v>
      </c>
      <c r="B487" s="140">
        <f t="shared" si="179"/>
        <v>6</v>
      </c>
      <c r="C487" s="120" t="s">
        <v>48</v>
      </c>
      <c r="D487" s="120" t="s">
        <v>377</v>
      </c>
      <c r="E487" s="121" t="s">
        <v>123</v>
      </c>
      <c r="F487" s="121"/>
      <c r="G487" s="121" t="s">
        <v>83</v>
      </c>
      <c r="H487" s="121" t="s">
        <v>101</v>
      </c>
      <c r="I487" s="121" t="s">
        <v>101</v>
      </c>
      <c r="J487" s="107">
        <v>4119.1000000000004</v>
      </c>
      <c r="K487" s="107">
        <v>2443.1</v>
      </c>
      <c r="L487" s="107">
        <v>0</v>
      </c>
      <c r="M487" s="122">
        <v>95</v>
      </c>
      <c r="N487" s="123">
        <f t="shared" si="173"/>
        <v>23386540.825230673</v>
      </c>
      <c r="O487" s="107">
        <v>0</v>
      </c>
      <c r="P487" s="108">
        <v>3678482.7385679903</v>
      </c>
      <c r="Q487" s="108">
        <v>0</v>
      </c>
      <c r="R487" s="108">
        <f t="shared" si="177"/>
        <v>1358690.65</v>
      </c>
      <c r="S487" s="108">
        <f>+AS487</f>
        <v>8795160</v>
      </c>
      <c r="T487" s="108">
        <f>+'Приложение №2'!E487-'Приложение №1'!P487-'Приложение №1'!R487-'Приложение №1'!S487</f>
        <v>9554207.4366626814</v>
      </c>
      <c r="U487" s="108">
        <f t="shared" si="176"/>
        <v>9572.4861140480025</v>
      </c>
      <c r="V487" s="108">
        <v>1178.2830200640001</v>
      </c>
      <c r="W487" s="135">
        <v>2024</v>
      </c>
      <c r="X487" s="34">
        <v>889128.05</v>
      </c>
      <c r="Y487" s="34">
        <f>+(K487*9.1+L487*18.19)*12</f>
        <v>266786.52</v>
      </c>
      <c r="AA487" s="35">
        <f>+N487-'[5]Приложение № 2'!E427</f>
        <v>-2567999.3005709276</v>
      </c>
      <c r="AD487" s="35">
        <f>+N487-'[5]Приложение № 2'!E427</f>
        <v>-2567999.3005709276</v>
      </c>
      <c r="AP487" s="77">
        <f>+N487-'Приложение №2'!E487</f>
        <v>0</v>
      </c>
      <c r="AQ487" s="34">
        <v>1109494.45</v>
      </c>
      <c r="AR487" s="1">
        <f t="shared" ref="AR487:AR494" si="180">+(K487*10+L487*20)*12*0.85</f>
        <v>249196.19999999998</v>
      </c>
      <c r="AS487" s="1">
        <f>+(K487*10+L487*20)*12*30</f>
        <v>8795160</v>
      </c>
      <c r="AT487" s="28">
        <f t="shared" si="171"/>
        <v>0</v>
      </c>
      <c r="AU487" s="28">
        <f>+P487-'[6]Приложение №1'!$P465</f>
        <v>0</v>
      </c>
      <c r="AV487" s="28">
        <f>+Q487-'[6]Приложение №1'!$Q465</f>
        <v>0</v>
      </c>
      <c r="AW487" s="28">
        <f>+R487-'[6]Приложение №1'!$R465</f>
        <v>0</v>
      </c>
      <c r="AX487" s="28">
        <f>+S487-'[6]Приложение №1'!$S465</f>
        <v>0</v>
      </c>
      <c r="AY487" s="28">
        <f>+T487-'[6]Приложение №1'!$T465</f>
        <v>-5156596.6052349284</v>
      </c>
    </row>
    <row r="488" spans="1:51" s="34" customFormat="1" x14ac:dyDescent="0.25">
      <c r="A488" s="139">
        <f t="shared" si="178"/>
        <v>469</v>
      </c>
      <c r="B488" s="140">
        <f t="shared" si="179"/>
        <v>7</v>
      </c>
      <c r="C488" s="120" t="s">
        <v>48</v>
      </c>
      <c r="D488" s="120" t="s">
        <v>378</v>
      </c>
      <c r="E488" s="121" t="s">
        <v>106</v>
      </c>
      <c r="F488" s="121"/>
      <c r="G488" s="121" t="s">
        <v>83</v>
      </c>
      <c r="H488" s="121" t="s">
        <v>101</v>
      </c>
      <c r="I488" s="121" t="s">
        <v>101</v>
      </c>
      <c r="J488" s="107">
        <v>4123.1000000000004</v>
      </c>
      <c r="K488" s="107">
        <v>2363</v>
      </c>
      <c r="L488" s="107">
        <v>91.8</v>
      </c>
      <c r="M488" s="122">
        <v>100</v>
      </c>
      <c r="N488" s="123">
        <f t="shared" si="173"/>
        <v>19276273.093565032</v>
      </c>
      <c r="O488" s="107">
        <v>0</v>
      </c>
      <c r="P488" s="108">
        <v>3283800.1961900308</v>
      </c>
      <c r="Q488" s="108">
        <v>0</v>
      </c>
      <c r="R488" s="108">
        <f t="shared" si="177"/>
        <v>1402191.16</v>
      </c>
      <c r="S488" s="108">
        <f>+AS488</f>
        <v>9167760</v>
      </c>
      <c r="T488" s="108">
        <f>+'Приложение №2'!E488-'Приложение №1'!P488-'Приложение №1'!R488-'Приложение №1'!S488</f>
        <v>5422521.7373750042</v>
      </c>
      <c r="U488" s="108">
        <f t="shared" si="176"/>
        <v>8157.5425702772036</v>
      </c>
      <c r="V488" s="108">
        <v>1179.2830200640001</v>
      </c>
      <c r="W488" s="135">
        <v>2024</v>
      </c>
      <c r="X488" s="34">
        <v>889790.81</v>
      </c>
      <c r="Y488" s="34">
        <f>+(K488*9.1+L488*18.19)*12</f>
        <v>278077.70400000003</v>
      </c>
      <c r="AA488" s="35">
        <f>+N488-'[5]Приложение № 2'!E428</f>
        <v>-6678267.0322365686</v>
      </c>
      <c r="AD488" s="35">
        <f>+N488-'[5]Приложение № 2'!E428</f>
        <v>-6678267.0322365686</v>
      </c>
      <c r="AP488" s="77">
        <f>+N488-'Приложение №2'!E488</f>
        <v>0</v>
      </c>
      <c r="AQ488" s="34">
        <v>1142437.96</v>
      </c>
      <c r="AR488" s="1">
        <f t="shared" si="180"/>
        <v>259753.19999999998</v>
      </c>
      <c r="AS488" s="1">
        <f>+(K488*10+L488*20)*12*30</f>
        <v>9167760</v>
      </c>
      <c r="AT488" s="28">
        <f t="shared" si="171"/>
        <v>0</v>
      </c>
      <c r="AU488" s="28">
        <f>+P488-'[6]Приложение №1'!$P466</f>
        <v>0</v>
      </c>
      <c r="AV488" s="28">
        <f>+Q488-'[6]Приложение №1'!$Q466</f>
        <v>0</v>
      </c>
      <c r="AW488" s="28">
        <f>+R488-'[6]Приложение №1'!$R466</f>
        <v>0</v>
      </c>
      <c r="AX488" s="28">
        <f>+S488-'[6]Приложение №1'!$S466</f>
        <v>0</v>
      </c>
      <c r="AY488" s="28">
        <f>+T488-'[6]Приложение №1'!$T466</f>
        <v>-4624372.4146244768</v>
      </c>
    </row>
    <row r="489" spans="1:51" x14ac:dyDescent="0.25">
      <c r="A489" s="139">
        <f t="shared" si="178"/>
        <v>470</v>
      </c>
      <c r="B489" s="140">
        <f t="shared" si="179"/>
        <v>8</v>
      </c>
      <c r="C489" s="120" t="s">
        <v>50</v>
      </c>
      <c r="D489" s="120" t="s">
        <v>273</v>
      </c>
      <c r="E489" s="121">
        <v>1998</v>
      </c>
      <c r="F489" s="121">
        <v>1998</v>
      </c>
      <c r="G489" s="121" t="s">
        <v>43</v>
      </c>
      <c r="H489" s="121">
        <v>5</v>
      </c>
      <c r="I489" s="121">
        <v>4</v>
      </c>
      <c r="J489" s="107">
        <v>4979.8</v>
      </c>
      <c r="K489" s="107">
        <v>4317.2</v>
      </c>
      <c r="L489" s="107">
        <v>0</v>
      </c>
      <c r="M489" s="122">
        <v>170</v>
      </c>
      <c r="N489" s="123">
        <f t="shared" si="173"/>
        <v>24874814.57459522</v>
      </c>
      <c r="O489" s="107"/>
      <c r="P489" s="108">
        <f>2734503.06343422+6339.1</f>
        <v>2740842.16343422</v>
      </c>
      <c r="Q489" s="108"/>
      <c r="R489" s="108">
        <f t="shared" si="177"/>
        <v>1218909.47</v>
      </c>
      <c r="S489" s="108">
        <f>+AS489</f>
        <v>15541920</v>
      </c>
      <c r="T489" s="108">
        <f>+'Приложение №2'!E489-'Приложение №1'!P489-'Приложение №1'!R489-'Приложение №1'!S489</f>
        <v>5373142.9411609992</v>
      </c>
      <c r="U489" s="108">
        <f t="shared" si="176"/>
        <v>5761.7934250429034</v>
      </c>
      <c r="V489" s="108">
        <v>1180.2830200640001</v>
      </c>
      <c r="W489" s="135">
        <v>2024</v>
      </c>
      <c r="X489" s="28" t="e">
        <f>+#REF!-'[1]Приложение №1'!$P1316</f>
        <v>#REF!</v>
      </c>
      <c r="Z489" s="30">
        <f t="shared" ref="Z489:Z497" si="181">SUM(AA489:AO489)</f>
        <v>27698101.323736895</v>
      </c>
      <c r="AA489" s="26">
        <v>12131968.210906873</v>
      </c>
      <c r="AB489" s="26">
        <v>5844352.9357768334</v>
      </c>
      <c r="AC489" s="26">
        <v>3569164.9191403314</v>
      </c>
      <c r="AD489" s="26">
        <v>2405162.5578562059</v>
      </c>
      <c r="AE489" s="26">
        <v>0</v>
      </c>
      <c r="AF489" s="26"/>
      <c r="AG489" s="26">
        <v>391844.91901863407</v>
      </c>
      <c r="AH489" s="26">
        <v>0</v>
      </c>
      <c r="AI489" s="26">
        <v>0</v>
      </c>
      <c r="AJ489" s="26">
        <v>0</v>
      </c>
      <c r="AK489" s="26">
        <v>0</v>
      </c>
      <c r="AL489" s="26">
        <v>0</v>
      </c>
      <c r="AM489" s="26">
        <v>2546305.7359043118</v>
      </c>
      <c r="AN489" s="31">
        <v>276981.01323736901</v>
      </c>
      <c r="AO489" s="32">
        <v>532321.03189633763</v>
      </c>
      <c r="AP489" s="77">
        <f>+N489-'Приложение №2'!E489</f>
        <v>0</v>
      </c>
      <c r="AQ489" s="1">
        <f>2097119.29-1318564.22</f>
        <v>778555.07000000007</v>
      </c>
      <c r="AR489" s="1">
        <f t="shared" si="180"/>
        <v>440354.39999999997</v>
      </c>
      <c r="AS489" s="1">
        <f>+(K489*10+L489*20)*12*30</f>
        <v>15541920</v>
      </c>
      <c r="AT489" s="28">
        <f t="shared" si="171"/>
        <v>0</v>
      </c>
      <c r="AU489" s="28">
        <f>+P489-'[6]Приложение №1'!$P467</f>
        <v>0</v>
      </c>
      <c r="AV489" s="28">
        <f>+Q489-'[6]Приложение №1'!$Q467</f>
        <v>0</v>
      </c>
      <c r="AW489" s="28">
        <f>+R489-'[6]Приложение №1'!$R467</f>
        <v>0</v>
      </c>
      <c r="AX489" s="28">
        <f>+S489-'[6]Приложение №1'!$S467</f>
        <v>0</v>
      </c>
      <c r="AY489" s="28">
        <f>+T489-'[6]Приложение №1'!$T467</f>
        <v>0</v>
      </c>
    </row>
    <row r="490" spans="1:51" x14ac:dyDescent="0.25">
      <c r="A490" s="139">
        <f t="shared" si="178"/>
        <v>471</v>
      </c>
      <c r="B490" s="140">
        <f t="shared" si="179"/>
        <v>9</v>
      </c>
      <c r="C490" s="120" t="s">
        <v>50</v>
      </c>
      <c r="D490" s="120" t="s">
        <v>270</v>
      </c>
      <c r="E490" s="121">
        <v>1990</v>
      </c>
      <c r="F490" s="121">
        <v>1990</v>
      </c>
      <c r="G490" s="121" t="s">
        <v>43</v>
      </c>
      <c r="H490" s="121">
        <v>5</v>
      </c>
      <c r="I490" s="121">
        <v>6</v>
      </c>
      <c r="J490" s="107">
        <v>5208.7</v>
      </c>
      <c r="K490" s="107">
        <v>4621.34</v>
      </c>
      <c r="L490" s="107">
        <v>0</v>
      </c>
      <c r="M490" s="122">
        <v>157</v>
      </c>
      <c r="N490" s="123">
        <f t="shared" si="173"/>
        <v>20098294.125966769</v>
      </c>
      <c r="O490" s="107"/>
      <c r="P490" s="108">
        <v>3299198.8272420606</v>
      </c>
      <c r="Q490" s="108"/>
      <c r="R490" s="108">
        <f t="shared" si="177"/>
        <v>706496.33</v>
      </c>
      <c r="S490" s="108">
        <f>+AS490</f>
        <v>13269140.084563842</v>
      </c>
      <c r="T490" s="108">
        <f>+'Приложение №2'!E490-'Приложение №1'!P490-'Приложение №1'!Q490-'Приложение №1'!R490-'Приложение №1'!S490</f>
        <v>2823458.8841608651</v>
      </c>
      <c r="U490" s="108">
        <f t="shared" si="176"/>
        <v>4349.0187101504689</v>
      </c>
      <c r="V490" s="108">
        <v>1181.2830200640001</v>
      </c>
      <c r="W490" s="135">
        <v>2024</v>
      </c>
      <c r="X490" s="28" t="e">
        <f>+#REF!-'[1]Приложение №1'!$P912</f>
        <v>#REF!</v>
      </c>
      <c r="Z490" s="30">
        <f t="shared" si="181"/>
        <v>29603700.840000004</v>
      </c>
      <c r="AA490" s="26">
        <v>12966620.036643</v>
      </c>
      <c r="AB490" s="26">
        <v>6246443.2957088398</v>
      </c>
      <c r="AC490" s="26">
        <v>3814719.10351812</v>
      </c>
      <c r="AD490" s="26">
        <v>2570628.0509279999</v>
      </c>
      <c r="AE490" s="26">
        <v>0</v>
      </c>
      <c r="AF490" s="26"/>
      <c r="AG490" s="26">
        <v>418822.00892279996</v>
      </c>
      <c r="AH490" s="26">
        <v>0</v>
      </c>
      <c r="AI490" s="26">
        <v>0</v>
      </c>
      <c r="AJ490" s="26">
        <v>0</v>
      </c>
      <c r="AK490" s="26">
        <v>0</v>
      </c>
      <c r="AL490" s="26">
        <v>0</v>
      </c>
      <c r="AM490" s="26">
        <v>2721487.1549999998</v>
      </c>
      <c r="AN490" s="31">
        <v>296037.00840000005</v>
      </c>
      <c r="AO490" s="32">
        <v>568944.18087924004</v>
      </c>
      <c r="AP490" s="77">
        <f>+N490-'Приложение №2'!E490</f>
        <v>0</v>
      </c>
      <c r="AQ490" s="28">
        <f>2233749.27-R25</f>
        <v>235119.64999999991</v>
      </c>
      <c r="AR490" s="1">
        <f t="shared" si="180"/>
        <v>471376.68000000005</v>
      </c>
      <c r="AS490" s="1">
        <f>+(K490*10+L490*20)*12*30-S25</f>
        <v>13269140.084563842</v>
      </c>
      <c r="AT490" s="28">
        <f t="shared" si="171"/>
        <v>0</v>
      </c>
      <c r="AU490" s="28">
        <f>+P490-'[6]Приложение №1'!$P468</f>
        <v>0</v>
      </c>
      <c r="AV490" s="28">
        <f>+Q490-'[6]Приложение №1'!$Q468</f>
        <v>0</v>
      </c>
      <c r="AW490" s="28">
        <f>+R490-'[6]Приложение №1'!$R468</f>
        <v>0</v>
      </c>
      <c r="AX490" s="28">
        <f>+S490-'[6]Приложение №1'!$S468</f>
        <v>0</v>
      </c>
      <c r="AY490" s="28">
        <f>+T490-'[6]Приложение №1'!$T468</f>
        <v>0</v>
      </c>
    </row>
    <row r="491" spans="1:51" x14ac:dyDescent="0.25">
      <c r="A491" s="139">
        <f t="shared" si="178"/>
        <v>472</v>
      </c>
      <c r="B491" s="140">
        <f t="shared" si="179"/>
        <v>10</v>
      </c>
      <c r="C491" s="120" t="s">
        <v>50</v>
      </c>
      <c r="D491" s="120" t="s">
        <v>274</v>
      </c>
      <c r="E491" s="121">
        <v>1996</v>
      </c>
      <c r="F491" s="121">
        <v>1996</v>
      </c>
      <c r="G491" s="121" t="s">
        <v>43</v>
      </c>
      <c r="H491" s="121">
        <v>5</v>
      </c>
      <c r="I491" s="121">
        <v>4</v>
      </c>
      <c r="J491" s="107">
        <v>3635.6</v>
      </c>
      <c r="K491" s="107">
        <v>3076.7</v>
      </c>
      <c r="L491" s="107">
        <v>0</v>
      </c>
      <c r="M491" s="122">
        <v>99</v>
      </c>
      <c r="N491" s="123">
        <f t="shared" si="173"/>
        <v>17775956.210939601</v>
      </c>
      <c r="O491" s="107"/>
      <c r="P491" s="108">
        <v>1728310.2671391205</v>
      </c>
      <c r="Q491" s="108"/>
      <c r="R491" s="108">
        <f t="shared" si="177"/>
        <v>1773436.21</v>
      </c>
      <c r="S491" s="108">
        <f>+AS491</f>
        <v>11076120</v>
      </c>
      <c r="T491" s="108">
        <f>+'Приложение №2'!E491-'Приложение №1'!P491-'Приложение №1'!R491-'Приложение №1'!S491</f>
        <v>3198089.7338004783</v>
      </c>
      <c r="U491" s="108">
        <f t="shared" si="176"/>
        <v>5777.6046448921252</v>
      </c>
      <c r="V491" s="108">
        <v>1182.2830200640001</v>
      </c>
      <c r="W491" s="135">
        <v>2024</v>
      </c>
      <c r="X491" s="28" t="e">
        <f>+#REF!-'[1]Приложение №1'!$P1319</f>
        <v>#REF!</v>
      </c>
      <c r="Z491" s="30">
        <f t="shared" si="181"/>
        <v>19793523.878556482</v>
      </c>
      <c r="AA491" s="26">
        <v>8669706.261442598</v>
      </c>
      <c r="AB491" s="26">
        <v>4176471.8107184474</v>
      </c>
      <c r="AC491" s="26">
        <v>2550584.6132842074</v>
      </c>
      <c r="AD491" s="26">
        <v>1718769.1663160517</v>
      </c>
      <c r="AE491" s="26">
        <v>0</v>
      </c>
      <c r="AF491" s="26"/>
      <c r="AG491" s="26">
        <v>280018.89626418491</v>
      </c>
      <c r="AH491" s="26">
        <v>0</v>
      </c>
      <c r="AI491" s="26">
        <v>0</v>
      </c>
      <c r="AJ491" s="26">
        <v>0</v>
      </c>
      <c r="AK491" s="26">
        <v>0</v>
      </c>
      <c r="AL491" s="26">
        <v>0</v>
      </c>
      <c r="AM491" s="26">
        <v>1819632.4288313186</v>
      </c>
      <c r="AN491" s="31">
        <v>197935.23878556484</v>
      </c>
      <c r="AO491" s="32">
        <v>380405.46291410743</v>
      </c>
      <c r="AP491" s="77">
        <f>+N491-'Приложение №2'!E491</f>
        <v>0</v>
      </c>
      <c r="AQ491" s="1">
        <v>1459612.81</v>
      </c>
      <c r="AR491" s="1">
        <f t="shared" si="180"/>
        <v>313823.39999999997</v>
      </c>
      <c r="AS491" s="1">
        <f>+(K491*10+L491*20)*12*30</f>
        <v>11076120</v>
      </c>
      <c r="AT491" s="28">
        <f t="shared" si="171"/>
        <v>0</v>
      </c>
      <c r="AU491" s="28">
        <f>+P491-'[6]Приложение №1'!$P469</f>
        <v>0</v>
      </c>
      <c r="AV491" s="28">
        <f>+Q491-'[6]Приложение №1'!$Q469</f>
        <v>0</v>
      </c>
      <c r="AW491" s="28">
        <f>+R491-'[6]Приложение №1'!$R469</f>
        <v>0</v>
      </c>
      <c r="AX491" s="28">
        <f>+S491-'[6]Приложение №1'!$S469</f>
        <v>0</v>
      </c>
      <c r="AY491" s="28">
        <f>+T491-'[6]Приложение №1'!$T469</f>
        <v>0</v>
      </c>
    </row>
    <row r="492" spans="1:51" x14ac:dyDescent="0.25">
      <c r="A492" s="139">
        <f t="shared" si="178"/>
        <v>473</v>
      </c>
      <c r="B492" s="140">
        <f t="shared" si="179"/>
        <v>11</v>
      </c>
      <c r="C492" s="120" t="s">
        <v>50</v>
      </c>
      <c r="D492" s="120" t="s">
        <v>275</v>
      </c>
      <c r="E492" s="121">
        <v>1996</v>
      </c>
      <c r="F492" s="121">
        <v>1996</v>
      </c>
      <c r="G492" s="121" t="s">
        <v>43</v>
      </c>
      <c r="H492" s="121">
        <v>5</v>
      </c>
      <c r="I492" s="121">
        <v>3</v>
      </c>
      <c r="J492" s="107">
        <v>4938</v>
      </c>
      <c r="K492" s="107">
        <v>4205.3999999999996</v>
      </c>
      <c r="L492" s="107">
        <v>368.1</v>
      </c>
      <c r="M492" s="122">
        <v>156</v>
      </c>
      <c r="N492" s="123">
        <f t="shared" si="173"/>
        <v>26824385.298744269</v>
      </c>
      <c r="O492" s="107"/>
      <c r="P492" s="108">
        <v>3325117.073269573</v>
      </c>
      <c r="Q492" s="108"/>
      <c r="R492" s="108">
        <v>893007.83000000007</v>
      </c>
      <c r="S492" s="108"/>
      <c r="T492" s="108">
        <f>+'Приложение №2'!E492-'Приложение №1'!P492-'Приложение №1'!Q492-'Приложение №1'!R492-'Приложение №1'!S492</f>
        <v>22606260.395474695</v>
      </c>
      <c r="U492" s="108">
        <f t="shared" si="176"/>
        <v>6378.5574020888071</v>
      </c>
      <c r="V492" s="108">
        <v>1183.2830200640001</v>
      </c>
      <c r="W492" s="135">
        <v>2024</v>
      </c>
      <c r="X492" s="28" t="e">
        <f>+#REF!-'[1]Приложение №1'!$P1321</f>
        <v>#REF!</v>
      </c>
      <c r="Z492" s="30">
        <f t="shared" si="181"/>
        <v>50568335.216347866</v>
      </c>
      <c r="AA492" s="26">
        <v>24697562.248763699</v>
      </c>
      <c r="AB492" s="26">
        <v>11897597.152070316</v>
      </c>
      <c r="AC492" s="26">
        <v>7265900.4074313128</v>
      </c>
      <c r="AD492" s="26">
        <v>0</v>
      </c>
      <c r="AE492" s="26">
        <v>0</v>
      </c>
      <c r="AF492" s="26"/>
      <c r="AG492" s="26">
        <v>797695.3212442582</v>
      </c>
      <c r="AH492" s="26">
        <v>0</v>
      </c>
      <c r="AI492" s="26">
        <v>0</v>
      </c>
      <c r="AJ492" s="26">
        <v>0</v>
      </c>
      <c r="AK492" s="26">
        <v>0</v>
      </c>
      <c r="AL492" s="26">
        <v>0</v>
      </c>
      <c r="AM492" s="26">
        <v>4427300.209259402</v>
      </c>
      <c r="AN492" s="31">
        <v>505683.35216347867</v>
      </c>
      <c r="AO492" s="32">
        <v>976596.5254153948</v>
      </c>
      <c r="AP492" s="77">
        <f>+N492-'Приложение №2'!E492</f>
        <v>0</v>
      </c>
      <c r="AQ492" s="1">
        <v>45757.05</v>
      </c>
      <c r="AR492" s="1">
        <f t="shared" si="180"/>
        <v>504043.2</v>
      </c>
      <c r="AS492" s="1">
        <f>+(K492*10+L492*20)*12*30</f>
        <v>17789760</v>
      </c>
      <c r="AT492" s="28">
        <f t="shared" si="171"/>
        <v>-17789760</v>
      </c>
      <c r="AU492" s="28">
        <f>+P492-'[6]Приложение №1'!$P470</f>
        <v>0</v>
      </c>
      <c r="AV492" s="28">
        <f>+Q492-'[6]Приложение №1'!$Q470</f>
        <v>0</v>
      </c>
      <c r="AW492" s="28">
        <f>+R492-'[6]Приложение №1'!$R470</f>
        <v>0</v>
      </c>
      <c r="AX492" s="28">
        <f>+S492-'[6]Приложение №1'!$S470</f>
        <v>0</v>
      </c>
      <c r="AY492" s="28">
        <f>+T492-'[6]Приложение №1'!$T470</f>
        <v>0</v>
      </c>
    </row>
    <row r="493" spans="1:51" x14ac:dyDescent="0.25">
      <c r="A493" s="139">
        <f t="shared" si="178"/>
        <v>474</v>
      </c>
      <c r="B493" s="140">
        <f t="shared" si="179"/>
        <v>12</v>
      </c>
      <c r="C493" s="120" t="s">
        <v>50</v>
      </c>
      <c r="D493" s="120" t="s">
        <v>272</v>
      </c>
      <c r="E493" s="121">
        <v>1989</v>
      </c>
      <c r="F493" s="121">
        <v>2012</v>
      </c>
      <c r="G493" s="121" t="s">
        <v>43</v>
      </c>
      <c r="H493" s="121">
        <v>5</v>
      </c>
      <c r="I493" s="121">
        <v>4</v>
      </c>
      <c r="J493" s="107">
        <v>5759.5</v>
      </c>
      <c r="K493" s="107">
        <v>4823.5</v>
      </c>
      <c r="L493" s="107">
        <v>45.7</v>
      </c>
      <c r="M493" s="122">
        <v>161</v>
      </c>
      <c r="N493" s="123">
        <f t="shared" si="173"/>
        <v>7084313.3406541934</v>
      </c>
      <c r="O493" s="107"/>
      <c r="P493" s="108"/>
      <c r="Q493" s="108"/>
      <c r="R493" s="108">
        <f>+AQ493+AR493</f>
        <v>0</v>
      </c>
      <c r="S493" s="108">
        <f>+'Приложение №2'!E493-'Приложение №1'!R493</f>
        <v>7084313.3406541934</v>
      </c>
      <c r="T493" s="108">
        <v>0</v>
      </c>
      <c r="U493" s="108">
        <f t="shared" si="176"/>
        <v>1468.7080627457642</v>
      </c>
      <c r="V493" s="108">
        <v>1184.2830200640001</v>
      </c>
      <c r="W493" s="135">
        <v>2024</v>
      </c>
      <c r="X493" s="28" t="e">
        <f>+#REF!-'[1]Приложение №1'!$P913</f>
        <v>#REF!</v>
      </c>
      <c r="Z493" s="30">
        <f t="shared" si="181"/>
        <v>7839473.0600000015</v>
      </c>
      <c r="AA493" s="26">
        <v>0</v>
      </c>
      <c r="AB493" s="26">
        <v>0</v>
      </c>
      <c r="AC493" s="26">
        <v>4022569.2098600399</v>
      </c>
      <c r="AD493" s="26">
        <v>2710692.1801008</v>
      </c>
      <c r="AE493" s="26">
        <v>0</v>
      </c>
      <c r="AF493" s="26"/>
      <c r="AG493" s="26">
        <v>0</v>
      </c>
      <c r="AH493" s="26">
        <v>0</v>
      </c>
      <c r="AI493" s="26">
        <v>0</v>
      </c>
      <c r="AJ493" s="26">
        <v>0</v>
      </c>
      <c r="AK493" s="26">
        <v>0</v>
      </c>
      <c r="AL493" s="26">
        <v>0</v>
      </c>
      <c r="AM493" s="26">
        <v>880574.14999999991</v>
      </c>
      <c r="AN493" s="31">
        <v>78394.730599999995</v>
      </c>
      <c r="AO493" s="32">
        <v>147242.78943916</v>
      </c>
      <c r="AP493" s="77">
        <f>+N493-'Приложение №2'!E493</f>
        <v>0</v>
      </c>
      <c r="AQ493" s="28">
        <f>2384141.34-R213</f>
        <v>-501319.79999999981</v>
      </c>
      <c r="AR493" s="1">
        <f t="shared" si="180"/>
        <v>501319.8</v>
      </c>
      <c r="AS493" s="1">
        <f>+(K493*10+L493*20)*12*30-S213</f>
        <v>13517904.351202622</v>
      </c>
      <c r="AT493" s="28">
        <f t="shared" si="171"/>
        <v>-6433591.0105484286</v>
      </c>
      <c r="AU493" s="28">
        <f>+P493-'[6]Приложение №1'!$P471</f>
        <v>0</v>
      </c>
      <c r="AV493" s="28">
        <f>+Q493-'[6]Приложение №1'!$Q471</f>
        <v>0</v>
      </c>
      <c r="AW493" s="28">
        <f>+R493-'[6]Приложение №1'!$R471</f>
        <v>0</v>
      </c>
      <c r="AX493" s="28">
        <f>+S493-'[6]Приложение №1'!$S471</f>
        <v>0</v>
      </c>
      <c r="AY493" s="28">
        <f>+T493-'[6]Приложение №1'!$T471</f>
        <v>0</v>
      </c>
    </row>
    <row r="494" spans="1:51" x14ac:dyDescent="0.25">
      <c r="A494" s="139">
        <f t="shared" si="178"/>
        <v>475</v>
      </c>
      <c r="B494" s="140">
        <f t="shared" si="179"/>
        <v>13</v>
      </c>
      <c r="C494" s="120" t="s">
        <v>50</v>
      </c>
      <c r="D494" s="120" t="s">
        <v>269</v>
      </c>
      <c r="E494" s="121">
        <v>1993</v>
      </c>
      <c r="F494" s="121">
        <v>2012</v>
      </c>
      <c r="G494" s="121" t="s">
        <v>43</v>
      </c>
      <c r="H494" s="121">
        <v>3</v>
      </c>
      <c r="I494" s="121">
        <v>1</v>
      </c>
      <c r="J494" s="107">
        <v>1090</v>
      </c>
      <c r="K494" s="107">
        <v>942.47</v>
      </c>
      <c r="L494" s="107">
        <v>0</v>
      </c>
      <c r="M494" s="122">
        <v>33</v>
      </c>
      <c r="N494" s="123">
        <f t="shared" si="173"/>
        <v>792318.11290502013</v>
      </c>
      <c r="O494" s="107"/>
      <c r="P494" s="108"/>
      <c r="Q494" s="108"/>
      <c r="R494" s="108">
        <f>+AQ494+AR494</f>
        <v>485055.29532301193</v>
      </c>
      <c r="S494" s="108">
        <f>+'Приложение №2'!E494-'Приложение №1'!R494</f>
        <v>307262.8175820082</v>
      </c>
      <c r="T494" s="108">
        <v>5.8207660913467407E-11</v>
      </c>
      <c r="U494" s="108">
        <f t="shared" si="176"/>
        <v>840.68258183816999</v>
      </c>
      <c r="V494" s="108">
        <v>1185.2830200640001</v>
      </c>
      <c r="W494" s="135">
        <v>2024</v>
      </c>
      <c r="X494" s="28" t="e">
        <f>+#REF!-'[1]Приложение №1'!$P1051</f>
        <v>#REF!</v>
      </c>
      <c r="Z494" s="30">
        <f t="shared" si="181"/>
        <v>1353938.3335296002</v>
      </c>
      <c r="AA494" s="26">
        <v>0</v>
      </c>
      <c r="AB494" s="26">
        <v>0</v>
      </c>
      <c r="AC494" s="26">
        <v>766834.98031195218</v>
      </c>
      <c r="AD494" s="26">
        <v>398482.47555609996</v>
      </c>
      <c r="AE494" s="26">
        <v>0</v>
      </c>
      <c r="AF494" s="26"/>
      <c r="AG494" s="26">
        <v>0</v>
      </c>
      <c r="AH494" s="26">
        <v>0</v>
      </c>
      <c r="AI494" s="26">
        <v>0</v>
      </c>
      <c r="AJ494" s="26">
        <v>0</v>
      </c>
      <c r="AK494" s="26">
        <v>0</v>
      </c>
      <c r="AL494" s="26">
        <v>0</v>
      </c>
      <c r="AM494" s="26">
        <v>149598.36173318402</v>
      </c>
      <c r="AN494" s="31">
        <v>13539.383335296003</v>
      </c>
      <c r="AO494" s="32">
        <v>25483.132593067974</v>
      </c>
      <c r="AP494" s="77">
        <f>+N494-'Приложение №2'!E494</f>
        <v>0</v>
      </c>
      <c r="AQ494" s="28">
        <f>502001.62-R24</f>
        <v>388923.35532301193</v>
      </c>
      <c r="AR494" s="1">
        <f t="shared" si="180"/>
        <v>96131.94</v>
      </c>
      <c r="AS494" s="1">
        <f>+(K494*10+L494*20)*12*30</f>
        <v>3392892.0000000005</v>
      </c>
      <c r="AT494" s="28">
        <f t="shared" si="171"/>
        <v>-3085629.1824179925</v>
      </c>
      <c r="AU494" s="28">
        <f>+P494-'[6]Приложение №1'!$P472</f>
        <v>0</v>
      </c>
      <c r="AV494" s="28">
        <f>+Q494-'[6]Приложение №1'!$Q472</f>
        <v>0</v>
      </c>
      <c r="AW494" s="28">
        <f>+R494-'[6]Приложение №1'!$R472</f>
        <v>208982.65999999997</v>
      </c>
      <c r="AX494" s="28">
        <f>+S494-'[6]Приложение №1'!$S472</f>
        <v>-208982.65999999997</v>
      </c>
      <c r="AY494" s="28">
        <f>+T494-'[6]Приложение №1'!$T472</f>
        <v>0</v>
      </c>
    </row>
    <row r="495" spans="1:51" x14ac:dyDescent="0.25">
      <c r="A495" s="139">
        <f t="shared" si="178"/>
        <v>476</v>
      </c>
      <c r="B495" s="140">
        <f t="shared" si="179"/>
        <v>14</v>
      </c>
      <c r="C495" s="120" t="s">
        <v>81</v>
      </c>
      <c r="D495" s="120" t="s">
        <v>277</v>
      </c>
      <c r="E495" s="121">
        <v>1996</v>
      </c>
      <c r="F495" s="121">
        <v>1996</v>
      </c>
      <c r="G495" s="121" t="s">
        <v>83</v>
      </c>
      <c r="H495" s="121">
        <v>9</v>
      </c>
      <c r="I495" s="121">
        <v>2</v>
      </c>
      <c r="J495" s="107">
        <v>5868.8</v>
      </c>
      <c r="K495" s="107">
        <v>4891.1000000000004</v>
      </c>
      <c r="L495" s="107">
        <v>103.4</v>
      </c>
      <c r="M495" s="122">
        <v>176</v>
      </c>
      <c r="N495" s="123">
        <f>+P495+Q495+R495+S495+T495</f>
        <v>7182720</v>
      </c>
      <c r="O495" s="107"/>
      <c r="P495" s="108">
        <v>0</v>
      </c>
      <c r="Q495" s="108"/>
      <c r="R495" s="108">
        <f>+AR495</f>
        <v>686779.12739999988</v>
      </c>
      <c r="S495" s="108">
        <f>+'Приложение №2'!E495-'Приложение №1'!R495</f>
        <v>6495940.8726000004</v>
      </c>
      <c r="T495" s="107">
        <f>+'Приложение №2'!E495-'Приложение №1'!P495-'Приложение №1'!Q495-'Приложение №1'!R495-'Приложение №1'!S495</f>
        <v>0</v>
      </c>
      <c r="U495" s="108">
        <f>$N495/($K495+$L495)</f>
        <v>1438.1259385323856</v>
      </c>
      <c r="V495" s="108">
        <f>$N495/($K495+$L495)</f>
        <v>1438.1259385323856</v>
      </c>
      <c r="W495" s="135">
        <v>2024</v>
      </c>
      <c r="X495" s="28" t="e">
        <f>+#REF!-'[1]Приложение №1'!$P1781</f>
        <v>#REF!</v>
      </c>
      <c r="Z495" s="30">
        <f t="shared" si="181"/>
        <v>26916272.679462254</v>
      </c>
      <c r="AA495" s="26">
        <v>11954408.568709729</v>
      </c>
      <c r="AB495" s="26">
        <v>4782903.5702124871</v>
      </c>
      <c r="AC495" s="26">
        <v>3532642.5089277923</v>
      </c>
      <c r="AD495" s="26">
        <v>2257520.5141524919</v>
      </c>
      <c r="AE495" s="26">
        <v>0</v>
      </c>
      <c r="AF495" s="26"/>
      <c r="AG495" s="26">
        <v>531117.68749178003</v>
      </c>
      <c r="AH495" s="26">
        <v>0</v>
      </c>
      <c r="AI495" s="26"/>
      <c r="AJ495" s="26">
        <v>0</v>
      </c>
      <c r="AK495" s="26">
        <v>0</v>
      </c>
      <c r="AL495" s="26">
        <v>0</v>
      </c>
      <c r="AM495" s="26">
        <v>2917548.1015033424</v>
      </c>
      <c r="AN495" s="31">
        <v>321479.91337035975</v>
      </c>
      <c r="AO495" s="32">
        <v>618651.81509427261</v>
      </c>
      <c r="AP495" s="77">
        <f>+N495-'Приложение №2'!E495</f>
        <v>0</v>
      </c>
      <c r="AQ495" s="28">
        <f>3041149.84-317048.16-R257</f>
        <v>2724101.6799999997</v>
      </c>
      <c r="AR495" s="1">
        <f>+(K495*13.29+L495*22.52)*12*0.85</f>
        <v>686779.12739999988</v>
      </c>
      <c r="AS495" s="1">
        <f>+(K495*13.29+L495*22.52)*12*30-2665031.47-S257</f>
        <v>17964337.604212351</v>
      </c>
      <c r="AT495" s="28">
        <f t="shared" si="171"/>
        <v>-11468396.731612351</v>
      </c>
      <c r="AU495" s="28"/>
      <c r="AV495" s="28"/>
      <c r="AW495" s="28"/>
      <c r="AX495" s="28"/>
      <c r="AY495" s="28"/>
    </row>
    <row r="496" spans="1:51" x14ac:dyDescent="0.25">
      <c r="A496" s="139">
        <f t="shared" si="178"/>
        <v>477</v>
      </c>
      <c r="B496" s="140">
        <f t="shared" si="179"/>
        <v>15</v>
      </c>
      <c r="C496" s="120" t="s">
        <v>81</v>
      </c>
      <c r="D496" s="120" t="s">
        <v>299</v>
      </c>
      <c r="E496" s="121">
        <v>1986</v>
      </c>
      <c r="F496" s="121">
        <v>2017</v>
      </c>
      <c r="G496" s="121" t="s">
        <v>83</v>
      </c>
      <c r="H496" s="121">
        <v>9</v>
      </c>
      <c r="I496" s="121">
        <v>1</v>
      </c>
      <c r="J496" s="107">
        <v>3148.9</v>
      </c>
      <c r="K496" s="107">
        <v>2686.2</v>
      </c>
      <c r="L496" s="107">
        <v>0</v>
      </c>
      <c r="M496" s="122">
        <v>112</v>
      </c>
      <c r="N496" s="123">
        <f>SUM(O496:T496)</f>
        <v>23725234.313397765</v>
      </c>
      <c r="O496" s="107"/>
      <c r="P496" s="108">
        <v>3488737.6475839727</v>
      </c>
      <c r="Q496" s="108"/>
      <c r="R496" s="108">
        <f t="shared" ref="R496:R507" si="182">+AQ496+AR496</f>
        <v>0</v>
      </c>
      <c r="S496" s="108">
        <f>+AS496</f>
        <v>12767916.109760767</v>
      </c>
      <c r="T496" s="108">
        <f>+'Приложение №2'!E496-'Приложение №1'!P496-'Приложение №1'!R496-'Приложение №1'!S496</f>
        <v>7468580.5560530256</v>
      </c>
      <c r="U496" s="108">
        <f>N496/K496</f>
        <v>8832.2665152995924</v>
      </c>
      <c r="V496" s="108">
        <v>1187.2830200640001</v>
      </c>
      <c r="W496" s="135">
        <v>2024</v>
      </c>
      <c r="X496" s="28" t="e">
        <f>+#REF!-'[1]Приложение №1'!$P1278</f>
        <v>#REF!</v>
      </c>
      <c r="Z496" s="30">
        <f t="shared" si="181"/>
        <v>9697051.4923279285</v>
      </c>
      <c r="AA496" s="26">
        <v>6428049.5552969025</v>
      </c>
      <c r="AB496" s="26">
        <v>0</v>
      </c>
      <c r="AC496" s="26">
        <v>1899550.3606906722</v>
      </c>
      <c r="AD496" s="26">
        <v>0</v>
      </c>
      <c r="AE496" s="26">
        <v>0</v>
      </c>
      <c r="AF496" s="26"/>
      <c r="AG496" s="26">
        <v>285589.26987220609</v>
      </c>
      <c r="AH496" s="26">
        <v>0</v>
      </c>
      <c r="AI496" s="26">
        <v>0</v>
      </c>
      <c r="AJ496" s="26">
        <v>0</v>
      </c>
      <c r="AK496" s="26">
        <v>0</v>
      </c>
      <c r="AL496" s="26">
        <v>0</v>
      </c>
      <c r="AM496" s="26">
        <v>798538.78870673361</v>
      </c>
      <c r="AN496" s="31">
        <v>96970.51492327929</v>
      </c>
      <c r="AO496" s="32">
        <v>188353.00283813541</v>
      </c>
      <c r="AP496" s="77">
        <f>+N496-'Приложение №2'!E496</f>
        <v>0</v>
      </c>
      <c r="AQ496" s="28">
        <f>1493014.61-R221</f>
        <v>-364135.89959999989</v>
      </c>
      <c r="AR496" s="1">
        <f>+(K496*13.29+L496*22.52)*12*0.85</f>
        <v>364135.89959999995</v>
      </c>
      <c r="AS496" s="1">
        <f>+(K496*13.29+L496*22.52)*12*30-S221</f>
        <v>12767916.109760767</v>
      </c>
      <c r="AT496" s="28">
        <f t="shared" si="171"/>
        <v>0</v>
      </c>
      <c r="AU496" s="28">
        <f>+P496-'[6]Приложение №1'!$P473</f>
        <v>0</v>
      </c>
      <c r="AV496" s="28">
        <f>+Q496-'[6]Приложение №1'!$Q473</f>
        <v>0</v>
      </c>
      <c r="AW496" s="28">
        <f>+R496-'[6]Приложение №1'!$R473</f>
        <v>0</v>
      </c>
      <c r="AX496" s="28">
        <f>+S496-'[6]Приложение №1'!$S473</f>
        <v>0</v>
      </c>
      <c r="AY496" s="28">
        <f>+T496-'[6]Приложение №1'!$T473</f>
        <v>0</v>
      </c>
    </row>
    <row r="497" spans="1:51" x14ac:dyDescent="0.25">
      <c r="A497" s="139">
        <f t="shared" si="178"/>
        <v>478</v>
      </c>
      <c r="B497" s="140">
        <f t="shared" si="179"/>
        <v>16</v>
      </c>
      <c r="C497" s="120" t="s">
        <v>81</v>
      </c>
      <c r="D497" s="120" t="s">
        <v>321</v>
      </c>
      <c r="E497" s="121">
        <v>1980</v>
      </c>
      <c r="F497" s="121">
        <v>2010</v>
      </c>
      <c r="G497" s="121" t="s">
        <v>83</v>
      </c>
      <c r="H497" s="121">
        <v>5</v>
      </c>
      <c r="I497" s="121">
        <v>3</v>
      </c>
      <c r="J497" s="107">
        <v>5185</v>
      </c>
      <c r="K497" s="107">
        <v>4394.2</v>
      </c>
      <c r="L497" s="107">
        <v>0</v>
      </c>
      <c r="M497" s="122">
        <v>182</v>
      </c>
      <c r="N497" s="123">
        <f>SUM(O497:T497)</f>
        <v>15805176.473731067</v>
      </c>
      <c r="O497" s="107"/>
      <c r="P497" s="108"/>
      <c r="Q497" s="108"/>
      <c r="R497" s="108">
        <f t="shared" si="182"/>
        <v>2596161.39</v>
      </c>
      <c r="S497" s="108">
        <f>+'Приложение №2'!E497-'Приложение №1'!R497</f>
        <v>13209015.083731066</v>
      </c>
      <c r="T497" s="108">
        <v>9.3132257461547852E-10</v>
      </c>
      <c r="U497" s="108">
        <f>N497/K497</f>
        <v>3596.8268339472643</v>
      </c>
      <c r="V497" s="108">
        <v>1188.2830200640001</v>
      </c>
      <c r="W497" s="135">
        <v>2024</v>
      </c>
      <c r="X497" s="28" t="e">
        <f>+#REF!-'[1]Приложение №1'!$P562</f>
        <v>#REF!</v>
      </c>
      <c r="Z497" s="30">
        <f t="shared" si="181"/>
        <v>37425881.19748608</v>
      </c>
      <c r="AA497" s="26">
        <v>0</v>
      </c>
      <c r="AB497" s="26">
        <v>0</v>
      </c>
      <c r="AC497" s="26">
        <v>0</v>
      </c>
      <c r="AD497" s="26">
        <v>0</v>
      </c>
      <c r="AE497" s="26">
        <v>0</v>
      </c>
      <c r="AF497" s="26"/>
      <c r="AG497" s="26">
        <v>0</v>
      </c>
      <c r="AH497" s="26">
        <v>0</v>
      </c>
      <c r="AI497" s="26">
        <v>14455410.735332333</v>
      </c>
      <c r="AJ497" s="26">
        <v>0</v>
      </c>
      <c r="AK497" s="26">
        <v>18301425.871979985</v>
      </c>
      <c r="AL497" s="26">
        <v>0</v>
      </c>
      <c r="AM497" s="26">
        <v>3578460.105404621</v>
      </c>
      <c r="AN497" s="31">
        <v>374258.81197486079</v>
      </c>
      <c r="AO497" s="32">
        <v>716325.67279428127</v>
      </c>
      <c r="AP497" s="77">
        <f>+N497-'Приложение №2'!E497</f>
        <v>0</v>
      </c>
      <c r="AQ497" s="1">
        <v>2147952.9900000002</v>
      </c>
      <c r="AR497" s="1">
        <f>+(K497*10+L497*20)*12*0.85</f>
        <v>448208.39999999997</v>
      </c>
      <c r="AS497" s="1">
        <f>+(K497*10+L497*20)*12*30</f>
        <v>15819120</v>
      </c>
      <c r="AT497" s="28">
        <f t="shared" si="171"/>
        <v>-2610104.9162689336</v>
      </c>
      <c r="AU497" s="28">
        <f>+P497-'[6]Приложение №1'!$P474</f>
        <v>0</v>
      </c>
      <c r="AV497" s="28">
        <f>+Q497-'[6]Приложение №1'!$Q474</f>
        <v>0</v>
      </c>
      <c r="AW497" s="28">
        <f>+R497-'[6]Приложение №1'!$R474</f>
        <v>0</v>
      </c>
      <c r="AX497" s="28">
        <f>+S497-'[6]Приложение №1'!$S474</f>
        <v>1033655.1827722155</v>
      </c>
      <c r="AY497" s="28">
        <f>+T497-'[6]Приложение №1'!$T474</f>
        <v>0</v>
      </c>
    </row>
    <row r="498" spans="1:51" s="74" customFormat="1" x14ac:dyDescent="0.25">
      <c r="A498" s="139">
        <f t="shared" si="178"/>
        <v>479</v>
      </c>
      <c r="B498" s="140">
        <f t="shared" si="179"/>
        <v>17</v>
      </c>
      <c r="C498" s="120" t="s">
        <v>81</v>
      </c>
      <c r="D498" s="120" t="s">
        <v>322</v>
      </c>
      <c r="E498" s="121">
        <v>1992</v>
      </c>
      <c r="F498" s="121">
        <v>2012</v>
      </c>
      <c r="G498" s="121" t="s">
        <v>83</v>
      </c>
      <c r="H498" s="121">
        <v>9</v>
      </c>
      <c r="I498" s="121">
        <v>1</v>
      </c>
      <c r="J498" s="107">
        <v>2846</v>
      </c>
      <c r="K498" s="107">
        <v>2452.1999999999998</v>
      </c>
      <c r="L498" s="107">
        <v>0</v>
      </c>
      <c r="M498" s="122">
        <v>98</v>
      </c>
      <c r="N498" s="108">
        <f t="shared" ref="N498:N504" si="183">+P498+Q498+R498+S498</f>
        <v>3591360</v>
      </c>
      <c r="O498" s="107"/>
      <c r="P498" s="108"/>
      <c r="Q498" s="108"/>
      <c r="R498" s="108">
        <f t="shared" si="182"/>
        <v>1931053.6199999999</v>
      </c>
      <c r="S498" s="108">
        <f>+'Приложение №2'!E498-'Приложение №1'!R498</f>
        <v>1660306.3800000001</v>
      </c>
      <c r="T498" s="107"/>
      <c r="U498" s="108">
        <f>$N498/($K498+$L498)</f>
        <v>1464.5461218497676</v>
      </c>
      <c r="V498" s="108">
        <f>$N498/($K498+$L498)</f>
        <v>1464.5461218497676</v>
      </c>
      <c r="W498" s="135">
        <v>2024</v>
      </c>
      <c r="X498" s="88">
        <f>+N498-'[11]Приложение №2'!E485</f>
        <v>1187580.1200000001</v>
      </c>
      <c r="AD498" s="90">
        <f>+'[11]Прил 2 оконч'!E485-'[11]Приложение №1'!N485</f>
        <v>0</v>
      </c>
      <c r="AP498" s="77">
        <f>+N498-'Приложение №2'!E498</f>
        <v>0</v>
      </c>
      <c r="AQ498" s="74">
        <v>1680929.22</v>
      </c>
      <c r="AR498" s="1">
        <f>+(K498*10+L498*20)*12*0.85</f>
        <v>250124.4</v>
      </c>
      <c r="AS498" s="1">
        <f t="shared" ref="AS498:AS504" si="184">+(K498*13.29+L498*22.52)*12*30</f>
        <v>11732305.679999998</v>
      </c>
      <c r="AT498" s="28">
        <f t="shared" si="171"/>
        <v>-10071999.299999997</v>
      </c>
      <c r="AU498" s="28"/>
      <c r="AV498" s="28"/>
      <c r="AW498" s="28"/>
      <c r="AX498" s="28"/>
      <c r="AY498" s="28"/>
    </row>
    <row r="499" spans="1:51" s="74" customFormat="1" x14ac:dyDescent="0.25">
      <c r="A499" s="139">
        <f t="shared" si="178"/>
        <v>480</v>
      </c>
      <c r="B499" s="140">
        <f t="shared" si="179"/>
        <v>18</v>
      </c>
      <c r="C499" s="120" t="s">
        <v>81</v>
      </c>
      <c r="D499" s="120" t="s">
        <v>323</v>
      </c>
      <c r="E499" s="121" t="s">
        <v>118</v>
      </c>
      <c r="F499" s="121"/>
      <c r="G499" s="121" t="s">
        <v>83</v>
      </c>
      <c r="H499" s="121" t="s">
        <v>94</v>
      </c>
      <c r="I499" s="121" t="s">
        <v>98</v>
      </c>
      <c r="J499" s="107">
        <v>2946.9</v>
      </c>
      <c r="K499" s="107">
        <v>2343.5</v>
      </c>
      <c r="L499" s="107">
        <v>393.2</v>
      </c>
      <c r="M499" s="122">
        <v>71</v>
      </c>
      <c r="N499" s="108">
        <f t="shared" si="183"/>
        <v>3591360</v>
      </c>
      <c r="O499" s="107"/>
      <c r="P499" s="108"/>
      <c r="Q499" s="108"/>
      <c r="R499" s="108">
        <f t="shared" si="182"/>
        <v>2465573.7599999998</v>
      </c>
      <c r="S499" s="108">
        <f>+'Приложение №2'!E499-'Приложение №1'!R499</f>
        <v>1125786.2400000002</v>
      </c>
      <c r="T499" s="107"/>
      <c r="U499" s="108"/>
      <c r="V499" s="108"/>
      <c r="W499" s="135">
        <v>2024</v>
      </c>
      <c r="X499" s="88"/>
      <c r="AD499" s="90"/>
      <c r="AP499" s="77">
        <f>+N499-'Приложение №2'!E499</f>
        <v>0</v>
      </c>
      <c r="AQ499" s="74">
        <v>2146323.96</v>
      </c>
      <c r="AR499" s="1">
        <f>+(K499*10+L499*20)*12*0.85</f>
        <v>319249.8</v>
      </c>
      <c r="AS499" s="1">
        <f t="shared" si="184"/>
        <v>14399992.440000001</v>
      </c>
      <c r="AT499" s="28">
        <f t="shared" si="171"/>
        <v>-13274206.200000001</v>
      </c>
      <c r="AU499" s="28"/>
      <c r="AV499" s="28"/>
      <c r="AW499" s="28"/>
      <c r="AX499" s="28"/>
      <c r="AY499" s="28"/>
    </row>
    <row r="500" spans="1:51" x14ac:dyDescent="0.25">
      <c r="A500" s="139">
        <f t="shared" si="178"/>
        <v>481</v>
      </c>
      <c r="B500" s="140">
        <f t="shared" si="179"/>
        <v>19</v>
      </c>
      <c r="C500" s="120" t="s">
        <v>81</v>
      </c>
      <c r="D500" s="120" t="s">
        <v>324</v>
      </c>
      <c r="E500" s="121">
        <v>1987</v>
      </c>
      <c r="F500" s="121">
        <v>2017</v>
      </c>
      <c r="G500" s="121" t="s">
        <v>83</v>
      </c>
      <c r="H500" s="121">
        <v>9</v>
      </c>
      <c r="I500" s="121">
        <v>5</v>
      </c>
      <c r="J500" s="107">
        <v>12250.3</v>
      </c>
      <c r="K500" s="107">
        <v>9272.2999999999993</v>
      </c>
      <c r="L500" s="107">
        <v>330.7</v>
      </c>
      <c r="M500" s="122">
        <v>376</v>
      </c>
      <c r="N500" s="108">
        <f t="shared" si="183"/>
        <v>16349155.862697218</v>
      </c>
      <c r="O500" s="107"/>
      <c r="P500" s="108"/>
      <c r="Q500" s="108"/>
      <c r="R500" s="108">
        <f t="shared" si="182"/>
        <v>7265477.3361999998</v>
      </c>
      <c r="S500" s="108">
        <f>+'Приложение №2'!E500-'Приложение №1'!R500</f>
        <v>9083678.5264972188</v>
      </c>
      <c r="T500" s="108">
        <v>0</v>
      </c>
      <c r="U500" s="108">
        <f>N500/K500</f>
        <v>1763.2255063681307</v>
      </c>
      <c r="V500" s="108">
        <v>1189.2830200640001</v>
      </c>
      <c r="W500" s="135">
        <v>2024</v>
      </c>
      <c r="X500" s="28" t="e">
        <f>+#REF!-'[1]Приложение №1'!$P565</f>
        <v>#REF!</v>
      </c>
      <c r="Z500" s="30">
        <f>SUM(AA500:AO500)</f>
        <v>18369838.047974408</v>
      </c>
      <c r="AA500" s="26">
        <v>0</v>
      </c>
      <c r="AB500" s="26">
        <v>0</v>
      </c>
      <c r="AC500" s="26">
        <v>0</v>
      </c>
      <c r="AD500" s="26">
        <v>0</v>
      </c>
      <c r="AE500" s="26">
        <v>0</v>
      </c>
      <c r="AF500" s="26"/>
      <c r="AG500" s="26">
        <v>0</v>
      </c>
      <c r="AH500" s="26">
        <v>0</v>
      </c>
      <c r="AI500" s="26">
        <v>0</v>
      </c>
      <c r="AJ500" s="26">
        <v>15999283.927235499</v>
      </c>
      <c r="AK500" s="26">
        <v>0</v>
      </c>
      <c r="AL500" s="26">
        <v>0</v>
      </c>
      <c r="AM500" s="26">
        <v>1836983.8047974405</v>
      </c>
      <c r="AN500" s="31">
        <v>183698.38047974405</v>
      </c>
      <c r="AO500" s="32">
        <v>349871.93546172051</v>
      </c>
      <c r="AP500" s="77">
        <f>+N500-'Приложение №2'!E500</f>
        <v>0</v>
      </c>
      <c r="AQ500" s="1">
        <v>5932579.7800000003</v>
      </c>
      <c r="AR500" s="1">
        <f>+(K500*13.29+L500*22.52)*12*0.85</f>
        <v>1332897.5561999998</v>
      </c>
      <c r="AS500" s="1">
        <f t="shared" si="184"/>
        <v>47043443.159999996</v>
      </c>
      <c r="AT500" s="28">
        <f t="shared" si="171"/>
        <v>-37959764.633502781</v>
      </c>
      <c r="AU500" s="28">
        <f>+P500-'[6]Приложение №1'!$P475</f>
        <v>0</v>
      </c>
      <c r="AV500" s="28">
        <f>+Q500-'[6]Приложение №1'!$Q475</f>
        <v>0</v>
      </c>
      <c r="AW500" s="28">
        <f>+R500-'[6]Приложение №1'!$R475</f>
        <v>0</v>
      </c>
      <c r="AX500" s="28">
        <f>+S500-'[6]Приложение №1'!$S475</f>
        <v>0</v>
      </c>
      <c r="AY500" s="28">
        <f>+T500-'[6]Приложение №1'!$T475</f>
        <v>0</v>
      </c>
    </row>
    <row r="501" spans="1:51" x14ac:dyDescent="0.25">
      <c r="A501" s="139">
        <f t="shared" si="178"/>
        <v>482</v>
      </c>
      <c r="B501" s="140">
        <f t="shared" si="179"/>
        <v>20</v>
      </c>
      <c r="C501" s="120" t="s">
        <v>81</v>
      </c>
      <c r="D501" s="120" t="s">
        <v>325</v>
      </c>
      <c r="E501" s="121" t="s">
        <v>118</v>
      </c>
      <c r="F501" s="121"/>
      <c r="G501" s="121" t="s">
        <v>83</v>
      </c>
      <c r="H501" s="121" t="s">
        <v>94</v>
      </c>
      <c r="I501" s="121" t="s">
        <v>95</v>
      </c>
      <c r="J501" s="107">
        <v>5832.9</v>
      </c>
      <c r="K501" s="107">
        <v>4738.3999999999996</v>
      </c>
      <c r="L501" s="107">
        <v>801.3</v>
      </c>
      <c r="M501" s="122">
        <v>154</v>
      </c>
      <c r="N501" s="108">
        <f t="shared" si="183"/>
        <v>7182720</v>
      </c>
      <c r="O501" s="107"/>
      <c r="P501" s="108"/>
      <c r="Q501" s="108"/>
      <c r="R501" s="108">
        <f t="shared" si="182"/>
        <v>4304303.4624000005</v>
      </c>
      <c r="S501" s="108">
        <f>+'Приложение №2'!E501-'Приложение №1'!R501</f>
        <v>2878416.5375999995</v>
      </c>
      <c r="T501" s="108"/>
      <c r="U501" s="108"/>
      <c r="V501" s="108"/>
      <c r="W501" s="135">
        <v>2024</v>
      </c>
      <c r="X501" s="28"/>
      <c r="Z501" s="30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31"/>
      <c r="AO501" s="32"/>
      <c r="AP501" s="77">
        <f>+N501-'Приложение №2'!E501</f>
        <v>0</v>
      </c>
      <c r="AQ501" s="1">
        <v>3477913.62</v>
      </c>
      <c r="AR501" s="1">
        <f>+(K501*13.29+L501*22.52)*12*0.85</f>
        <v>826389.84239999996</v>
      </c>
      <c r="AS501" s="1">
        <f t="shared" si="184"/>
        <v>29166700.319999997</v>
      </c>
      <c r="AT501" s="28">
        <f t="shared" si="171"/>
        <v>-26288283.782399997</v>
      </c>
      <c r="AU501" s="28"/>
      <c r="AV501" s="28"/>
      <c r="AW501" s="28"/>
      <c r="AX501" s="28"/>
      <c r="AY501" s="28"/>
    </row>
    <row r="502" spans="1:51" x14ac:dyDescent="0.25">
      <c r="A502" s="139">
        <f t="shared" si="178"/>
        <v>483</v>
      </c>
      <c r="B502" s="140">
        <f t="shared" si="179"/>
        <v>21</v>
      </c>
      <c r="C502" s="120" t="s">
        <v>81</v>
      </c>
      <c r="D502" s="120" t="s">
        <v>326</v>
      </c>
      <c r="E502" s="121" t="s">
        <v>122</v>
      </c>
      <c r="F502" s="121"/>
      <c r="G502" s="121" t="s">
        <v>83</v>
      </c>
      <c r="H502" s="121" t="s">
        <v>94</v>
      </c>
      <c r="I502" s="121" t="s">
        <v>98</v>
      </c>
      <c r="J502" s="107">
        <v>3327.1</v>
      </c>
      <c r="K502" s="107">
        <v>2700.2</v>
      </c>
      <c r="L502" s="107">
        <v>127.1</v>
      </c>
      <c r="M502" s="122">
        <v>93</v>
      </c>
      <c r="N502" s="108">
        <f t="shared" si="183"/>
        <v>3591360</v>
      </c>
      <c r="O502" s="107"/>
      <c r="P502" s="108"/>
      <c r="Q502" s="108"/>
      <c r="R502" s="108">
        <f t="shared" si="182"/>
        <v>2441977.39</v>
      </c>
      <c r="S502" s="108">
        <f>+'Приложение №2'!E502-'Приложение №1'!R502</f>
        <v>1149382.6099999999</v>
      </c>
      <c r="T502" s="108"/>
      <c r="U502" s="108"/>
      <c r="V502" s="108"/>
      <c r="W502" s="135">
        <v>2024</v>
      </c>
      <c r="X502" s="28"/>
      <c r="Z502" s="30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31"/>
      <c r="AO502" s="32"/>
      <c r="AP502" s="77">
        <f>+N502-'Приложение №2'!E502</f>
        <v>0</v>
      </c>
      <c r="AQ502" s="1">
        <v>2046748.3</v>
      </c>
      <c r="AR502" s="1">
        <f>+(K502*13.29+L502*22.52)*12*0.85</f>
        <v>395229.08999999997</v>
      </c>
      <c r="AS502" s="1">
        <f t="shared" si="184"/>
        <v>13949261.999999998</v>
      </c>
      <c r="AT502" s="28">
        <f t="shared" si="171"/>
        <v>-12799879.389999999</v>
      </c>
      <c r="AU502" s="28"/>
      <c r="AV502" s="28"/>
      <c r="AW502" s="28"/>
      <c r="AX502" s="28"/>
      <c r="AY502" s="28"/>
    </row>
    <row r="503" spans="1:51" x14ac:dyDescent="0.25">
      <c r="A503" s="139">
        <f t="shared" si="178"/>
        <v>484</v>
      </c>
      <c r="B503" s="140">
        <f t="shared" si="179"/>
        <v>22</v>
      </c>
      <c r="C503" s="120" t="s">
        <v>81</v>
      </c>
      <c r="D503" s="120" t="s">
        <v>327</v>
      </c>
      <c r="E503" s="121">
        <v>1985</v>
      </c>
      <c r="F503" s="121">
        <v>2011</v>
      </c>
      <c r="G503" s="121" t="s">
        <v>83</v>
      </c>
      <c r="H503" s="121">
        <v>9</v>
      </c>
      <c r="I503" s="121">
        <v>3</v>
      </c>
      <c r="J503" s="107">
        <v>8800.5</v>
      </c>
      <c r="K503" s="107">
        <v>6909.1</v>
      </c>
      <c r="L503" s="107">
        <v>362.5</v>
      </c>
      <c r="M503" s="122">
        <v>269</v>
      </c>
      <c r="N503" s="108">
        <f t="shared" si="183"/>
        <v>10774080</v>
      </c>
      <c r="O503" s="107"/>
      <c r="P503" s="108"/>
      <c r="Q503" s="108"/>
      <c r="R503" s="108">
        <f t="shared" si="182"/>
        <v>5227881.9578</v>
      </c>
      <c r="S503" s="108">
        <f>+'Приложение №2'!E503-'Приложение №1'!R503</f>
        <v>5546198.0422</v>
      </c>
      <c r="T503" s="108">
        <v>0</v>
      </c>
      <c r="U503" s="108">
        <f>N503/K503</f>
        <v>1559.4042639417578</v>
      </c>
      <c r="V503" s="108">
        <v>1190.2830200640001</v>
      </c>
      <c r="W503" s="135">
        <v>2024</v>
      </c>
      <c r="X503" s="28"/>
      <c r="Z503" s="30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31"/>
      <c r="AO503" s="32"/>
      <c r="AP503" s="77">
        <f>+N503-'Приложение №2'!E503</f>
        <v>0</v>
      </c>
      <c r="AQ503" s="1">
        <v>4208030.4800000004</v>
      </c>
      <c r="AR503" s="1">
        <f>+(K503*13.29+L503*22.52)*12*0.85</f>
        <v>1019851.4777999999</v>
      </c>
      <c r="AS503" s="1">
        <f t="shared" si="184"/>
        <v>35994758.039999999</v>
      </c>
      <c r="AT503" s="28">
        <f t="shared" si="171"/>
        <v>-30448559.9978</v>
      </c>
      <c r="AU503" s="28">
        <f>+P503-'[6]Приложение №1'!$P476</f>
        <v>0</v>
      </c>
      <c r="AV503" s="28">
        <f>+Q503-'[6]Приложение №1'!$Q476</f>
        <v>0</v>
      </c>
      <c r="AW503" s="28">
        <f>+R503-'[6]Приложение №1'!$R476</f>
        <v>0</v>
      </c>
      <c r="AX503" s="28">
        <f>+S503-'[6]Приложение №1'!$S476</f>
        <v>0</v>
      </c>
      <c r="AY503" s="28">
        <f>+T503-'[6]Приложение №1'!$T476</f>
        <v>0</v>
      </c>
    </row>
    <row r="504" spans="1:51" x14ac:dyDescent="0.25">
      <c r="A504" s="139">
        <f t="shared" si="178"/>
        <v>485</v>
      </c>
      <c r="B504" s="140">
        <f t="shared" si="179"/>
        <v>23</v>
      </c>
      <c r="C504" s="120" t="s">
        <v>81</v>
      </c>
      <c r="D504" s="120" t="s">
        <v>328</v>
      </c>
      <c r="E504" s="121" t="s">
        <v>122</v>
      </c>
      <c r="F504" s="121"/>
      <c r="G504" s="121" t="s">
        <v>83</v>
      </c>
      <c r="H504" s="121" t="s">
        <v>94</v>
      </c>
      <c r="I504" s="121" t="s">
        <v>98</v>
      </c>
      <c r="J504" s="107">
        <v>3391</v>
      </c>
      <c r="K504" s="107">
        <v>2799.1</v>
      </c>
      <c r="L504" s="107">
        <v>0</v>
      </c>
      <c r="M504" s="122">
        <v>93</v>
      </c>
      <c r="N504" s="108">
        <f t="shared" si="183"/>
        <v>3591360</v>
      </c>
      <c r="O504" s="107"/>
      <c r="P504" s="108"/>
      <c r="Q504" s="108"/>
      <c r="R504" s="108">
        <f t="shared" si="182"/>
        <v>2345030.1677999999</v>
      </c>
      <c r="S504" s="108">
        <f>+'Приложение №2'!E504-'Приложение №1'!R504</f>
        <v>1246329.8322000001</v>
      </c>
      <c r="T504" s="108"/>
      <c r="U504" s="108"/>
      <c r="V504" s="108"/>
      <c r="W504" s="135">
        <v>2024</v>
      </c>
      <c r="X504" s="28"/>
      <c r="Z504" s="30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31"/>
      <c r="AO504" s="32"/>
      <c r="AP504" s="77">
        <f>+N504-'Приложение №2'!E504</f>
        <v>0</v>
      </c>
      <c r="AQ504" s="1">
        <v>1965589.77</v>
      </c>
      <c r="AR504" s="1">
        <f>+(K504*13.29+L504*22.52)*12*0.85</f>
        <v>379440.39779999998</v>
      </c>
      <c r="AS504" s="1">
        <f t="shared" si="184"/>
        <v>13392014.039999999</v>
      </c>
      <c r="AT504" s="28">
        <f t="shared" si="171"/>
        <v>-12145684.207799999</v>
      </c>
      <c r="AU504" s="28"/>
      <c r="AV504" s="28"/>
      <c r="AW504" s="28"/>
      <c r="AX504" s="28"/>
      <c r="AY504" s="28"/>
    </row>
    <row r="505" spans="1:51" x14ac:dyDescent="0.25">
      <c r="A505" s="139">
        <f t="shared" si="178"/>
        <v>486</v>
      </c>
      <c r="B505" s="140">
        <f t="shared" si="179"/>
        <v>24</v>
      </c>
      <c r="C505" s="120" t="s">
        <v>81</v>
      </c>
      <c r="D505" s="120" t="s">
        <v>329</v>
      </c>
      <c r="E505" s="121">
        <v>1986</v>
      </c>
      <c r="F505" s="121">
        <v>2017</v>
      </c>
      <c r="G505" s="121" t="s">
        <v>83</v>
      </c>
      <c r="H505" s="121">
        <v>5</v>
      </c>
      <c r="I505" s="121">
        <v>4</v>
      </c>
      <c r="J505" s="107">
        <v>5725</v>
      </c>
      <c r="K505" s="107">
        <v>4812.8</v>
      </c>
      <c r="L505" s="107">
        <v>0</v>
      </c>
      <c r="M505" s="122">
        <v>190</v>
      </c>
      <c r="N505" s="123">
        <f t="shared" ref="N505:N534" si="185">SUM(O505:T505)</f>
        <v>14046284.87863205</v>
      </c>
      <c r="O505" s="107"/>
      <c r="P505" s="108"/>
      <c r="Q505" s="108"/>
      <c r="R505" s="108">
        <f t="shared" si="182"/>
        <v>2921980.0100000002</v>
      </c>
      <c r="S505" s="108">
        <f>+'Приложение №2'!E505-'Приложение №1'!R505</f>
        <v>11124304.86863205</v>
      </c>
      <c r="T505" s="108">
        <v>0</v>
      </c>
      <c r="U505" s="108">
        <f t="shared" ref="U505:U533" si="186">N505/K505</f>
        <v>2918.5266120827896</v>
      </c>
      <c r="V505" s="108">
        <v>1191.2830200640001</v>
      </c>
      <c r="W505" s="135">
        <v>2024</v>
      </c>
      <c r="X505" s="28" t="e">
        <f>+#REF!-'[1]Приложение №1'!$P925</f>
        <v>#REF!</v>
      </c>
      <c r="Z505" s="30">
        <f>SUM(AA505:AO505)</f>
        <v>15251119.821010942</v>
      </c>
      <c r="AA505" s="26">
        <v>9517364.6367539484</v>
      </c>
      <c r="AB505" s="26">
        <v>0</v>
      </c>
      <c r="AC505" s="26">
        <v>0</v>
      </c>
      <c r="AD505" s="26">
        <v>3840848.923028145</v>
      </c>
      <c r="AE505" s="26">
        <v>0</v>
      </c>
      <c r="AF505" s="26"/>
      <c r="AG505" s="26">
        <v>0</v>
      </c>
      <c r="AH505" s="26">
        <v>0</v>
      </c>
      <c r="AI505" s="26">
        <v>0</v>
      </c>
      <c r="AJ505" s="26">
        <v>0</v>
      </c>
      <c r="AK505" s="26">
        <v>0</v>
      </c>
      <c r="AL505" s="26">
        <v>0</v>
      </c>
      <c r="AM505" s="26">
        <v>1448277.9874216244</v>
      </c>
      <c r="AN505" s="31">
        <v>152511.19821010943</v>
      </c>
      <c r="AO505" s="32">
        <v>292117.07559711509</v>
      </c>
      <c r="AP505" s="77">
        <f>+N505-'Приложение №2'!E505</f>
        <v>0</v>
      </c>
      <c r="AQ505" s="1">
        <v>2431074.41</v>
      </c>
      <c r="AR505" s="1">
        <f>+(K505*10+L505*20)*12*0.85</f>
        <v>490905.59999999998</v>
      </c>
      <c r="AS505" s="1">
        <f>+(K505*10+L505*20)*12*30</f>
        <v>17326080</v>
      </c>
      <c r="AT505" s="28">
        <f t="shared" si="171"/>
        <v>-6201775.1313679498</v>
      </c>
      <c r="AU505" s="28">
        <f>+P505-'[6]Приложение №1'!$P477</f>
        <v>0</v>
      </c>
      <c r="AV505" s="28">
        <f>+Q505-'[6]Приложение №1'!$Q477</f>
        <v>0</v>
      </c>
      <c r="AW505" s="28">
        <f>+R505-'[6]Приложение №1'!$R477</f>
        <v>0</v>
      </c>
      <c r="AX505" s="28">
        <f>+S505-'[6]Приложение №1'!$S477</f>
        <v>395954.24325284176</v>
      </c>
      <c r="AY505" s="28">
        <f>+T505-'[6]Приложение №1'!$T477</f>
        <v>0</v>
      </c>
    </row>
    <row r="506" spans="1:51" x14ac:dyDescent="0.25">
      <c r="A506" s="139">
        <f t="shared" si="178"/>
        <v>487</v>
      </c>
      <c r="B506" s="140">
        <f t="shared" si="179"/>
        <v>25</v>
      </c>
      <c r="C506" s="120" t="s">
        <v>81</v>
      </c>
      <c r="D506" s="120" t="s">
        <v>330</v>
      </c>
      <c r="E506" s="121">
        <v>1984</v>
      </c>
      <c r="F506" s="121">
        <v>2012</v>
      </c>
      <c r="G506" s="121" t="s">
        <v>83</v>
      </c>
      <c r="H506" s="121">
        <v>5</v>
      </c>
      <c r="I506" s="121">
        <v>2</v>
      </c>
      <c r="J506" s="107">
        <v>4407.8500000000004</v>
      </c>
      <c r="K506" s="107">
        <v>2910.8</v>
      </c>
      <c r="L506" s="107">
        <v>859.6</v>
      </c>
      <c r="M506" s="122">
        <v>176</v>
      </c>
      <c r="N506" s="123">
        <f t="shared" si="185"/>
        <v>17594017.8503768</v>
      </c>
      <c r="O506" s="107"/>
      <c r="P506" s="108">
        <f>+'Приложение №2'!E506-'Приложение №1'!R506-'Приложение №1'!S506</f>
        <v>453049.84037679993</v>
      </c>
      <c r="Q506" s="108"/>
      <c r="R506" s="108">
        <f t="shared" si="182"/>
        <v>1421354.58</v>
      </c>
      <c r="S506" s="108">
        <f>+AS506</f>
        <v>15719613.43</v>
      </c>
      <c r="T506" s="108">
        <f>+'Приложение №2'!E506-'Приложение №1'!P506-'Приложение №1'!Q506-'Приложение №1'!R506-'Приложение №1'!S506</f>
        <v>0</v>
      </c>
      <c r="U506" s="108">
        <f t="shared" si="186"/>
        <v>6044.3925554407033</v>
      </c>
      <c r="V506" s="108">
        <v>1192.2830200640001</v>
      </c>
      <c r="W506" s="135">
        <v>2024</v>
      </c>
      <c r="X506" s="28" t="e">
        <f>+#REF!-'[1]Приложение №1'!$P926</f>
        <v>#REF!</v>
      </c>
      <c r="Z506" s="30">
        <f>SUM(AA506:AO506)</f>
        <v>17771005.9203768</v>
      </c>
      <c r="AA506" s="26">
        <v>0</v>
      </c>
      <c r="AB506" s="26">
        <v>0</v>
      </c>
      <c r="AC506" s="26">
        <v>0</v>
      </c>
      <c r="AD506" s="26">
        <v>0</v>
      </c>
      <c r="AE506" s="26">
        <v>0</v>
      </c>
      <c r="AF506" s="26"/>
      <c r="AG506" s="26">
        <v>0</v>
      </c>
      <c r="AH506" s="26">
        <v>0</v>
      </c>
      <c r="AI506" s="26">
        <v>0</v>
      </c>
      <c r="AJ506" s="26">
        <v>0</v>
      </c>
      <c r="AK506" s="26">
        <v>17217505.868378736</v>
      </c>
      <c r="AL506" s="26">
        <v>0</v>
      </c>
      <c r="AM506" s="1">
        <v>152988.07</v>
      </c>
      <c r="AN506" s="26">
        <v>24000</v>
      </c>
      <c r="AO506" s="32">
        <v>376511.98199806357</v>
      </c>
      <c r="AP506" s="77">
        <f>+N506-'Приложение №2'!E506</f>
        <v>0</v>
      </c>
      <c r="AQ506" s="1">
        <f>2257544.33-1308449.75</f>
        <v>949094.58000000007</v>
      </c>
      <c r="AR506" s="1">
        <f>+(K506*10+L506*20)*12*0.85</f>
        <v>472260</v>
      </c>
      <c r="AS506" s="1">
        <f>+(K506*10+L506*20)*12*30-948386.57</f>
        <v>15719613.43</v>
      </c>
      <c r="AT506" s="28">
        <f t="shared" si="171"/>
        <v>0</v>
      </c>
      <c r="AU506" s="28">
        <f>+P506-'[6]Приложение №1'!$P478</f>
        <v>0</v>
      </c>
      <c r="AV506" s="28">
        <f>+Q506-'[6]Приложение №1'!$Q478</f>
        <v>0</v>
      </c>
      <c r="AW506" s="28">
        <f>+R506-'[6]Приложение №1'!$R478</f>
        <v>0</v>
      </c>
      <c r="AX506" s="28">
        <f>+S506-'[6]Приложение №1'!$S478</f>
        <v>0</v>
      </c>
      <c r="AY506" s="28">
        <f>+T506-'[6]Приложение №1'!$T478</f>
        <v>0</v>
      </c>
    </row>
    <row r="507" spans="1:51" x14ac:dyDescent="0.25">
      <c r="A507" s="139">
        <f t="shared" si="178"/>
        <v>488</v>
      </c>
      <c r="B507" s="140">
        <f t="shared" si="179"/>
        <v>26</v>
      </c>
      <c r="C507" s="120" t="s">
        <v>81</v>
      </c>
      <c r="D507" s="120" t="s">
        <v>281</v>
      </c>
      <c r="E507" s="121">
        <v>1988</v>
      </c>
      <c r="F507" s="121">
        <v>2016</v>
      </c>
      <c r="G507" s="121" t="s">
        <v>83</v>
      </c>
      <c r="H507" s="121">
        <v>5</v>
      </c>
      <c r="I507" s="121">
        <v>2</v>
      </c>
      <c r="J507" s="107">
        <v>4465.5</v>
      </c>
      <c r="K507" s="107">
        <v>2945.85</v>
      </c>
      <c r="L507" s="107">
        <v>451.6</v>
      </c>
      <c r="M507" s="122">
        <v>169</v>
      </c>
      <c r="N507" s="123">
        <f t="shared" si="185"/>
        <v>16075963.844649071</v>
      </c>
      <c r="O507" s="107"/>
      <c r="P507" s="108">
        <v>3571794.2067385912</v>
      </c>
      <c r="Q507" s="108"/>
      <c r="R507" s="108">
        <f t="shared" si="182"/>
        <v>46238.970000000088</v>
      </c>
      <c r="S507" s="108">
        <f>+AS507</f>
        <v>10006846.59</v>
      </c>
      <c r="T507" s="108">
        <f>+'Приложение №2'!E507-'Приложение №1'!P507-'Приложение №1'!Q507-'Приложение №1'!R507-'Приложение №1'!S507</f>
        <v>2451084.0779104792</v>
      </c>
      <c r="U507" s="108">
        <f t="shared" si="186"/>
        <v>5457.1562858424804</v>
      </c>
      <c r="V507" s="108">
        <v>1193.2830200640001</v>
      </c>
      <c r="W507" s="135">
        <v>2024</v>
      </c>
      <c r="X507" s="28" t="e">
        <f>+#REF!-'[1]Приложение №1'!$P1285</f>
        <v>#REF!</v>
      </c>
      <c r="Z507" s="30">
        <f>SUM(AA507:AO507)</f>
        <v>40635058.08237657</v>
      </c>
      <c r="AA507" s="26">
        <v>7511049.4806612218</v>
      </c>
      <c r="AB507" s="26">
        <v>3214895.5638655713</v>
      </c>
      <c r="AC507" s="26">
        <v>0</v>
      </c>
      <c r="AD507" s="26">
        <v>3031175.8989669341</v>
      </c>
      <c r="AE507" s="26">
        <v>0</v>
      </c>
      <c r="AF507" s="26"/>
      <c r="AG507" s="26">
        <v>311848.52041429107</v>
      </c>
      <c r="AH507" s="26">
        <v>0</v>
      </c>
      <c r="AI507" s="26">
        <v>0</v>
      </c>
      <c r="AJ507" s="26">
        <v>5678337.1610445483</v>
      </c>
      <c r="AK507" s="26">
        <v>15731938.21837358</v>
      </c>
      <c r="AL507" s="26">
        <v>0</v>
      </c>
      <c r="AM507" s="26">
        <v>3973603.431119387</v>
      </c>
      <c r="AN507" s="31">
        <v>406350.58082376578</v>
      </c>
      <c r="AO507" s="32">
        <v>775859.22710727528</v>
      </c>
      <c r="AP507" s="77">
        <f>+N507-'Приложение №2'!E507</f>
        <v>0</v>
      </c>
      <c r="AQ507" s="28">
        <f>1790670.12-R32</f>
        <v>-346364.12999999989</v>
      </c>
      <c r="AR507" s="1">
        <f>+(K507*10+L507*20)*12*0.85</f>
        <v>392603.1</v>
      </c>
      <c r="AS507" s="1">
        <f>+(K507*10+L507*20)*12*30-S32</f>
        <v>10006846.59</v>
      </c>
      <c r="AT507" s="28">
        <f t="shared" si="171"/>
        <v>0</v>
      </c>
      <c r="AU507" s="28">
        <f>+P507-'[6]Приложение №1'!$P479</f>
        <v>0</v>
      </c>
      <c r="AV507" s="28">
        <f>+Q507-'[6]Приложение №1'!$Q479</f>
        <v>0</v>
      </c>
      <c r="AW507" s="28">
        <f>+R507-'[6]Приложение №1'!$R479</f>
        <v>0</v>
      </c>
      <c r="AX507" s="28">
        <f>+S507-'[6]Приложение №1'!$S479</f>
        <v>0</v>
      </c>
      <c r="AY507" s="28">
        <f>+T507-'[6]Приложение №1'!$T479</f>
        <v>0</v>
      </c>
    </row>
    <row r="508" spans="1:51" x14ac:dyDescent="0.25">
      <c r="A508" s="139">
        <f t="shared" si="178"/>
        <v>489</v>
      </c>
      <c r="B508" s="140">
        <f t="shared" si="179"/>
        <v>27</v>
      </c>
      <c r="C508" s="120" t="s">
        <v>81</v>
      </c>
      <c r="D508" s="120" t="s">
        <v>331</v>
      </c>
      <c r="E508" s="121">
        <v>1987</v>
      </c>
      <c r="F508" s="121">
        <v>2016</v>
      </c>
      <c r="G508" s="121" t="s">
        <v>83</v>
      </c>
      <c r="H508" s="121">
        <v>5</v>
      </c>
      <c r="I508" s="121">
        <v>2</v>
      </c>
      <c r="J508" s="107">
        <v>4414.46</v>
      </c>
      <c r="K508" s="107">
        <v>3063.3</v>
      </c>
      <c r="L508" s="107">
        <v>691.2</v>
      </c>
      <c r="M508" s="122">
        <v>189</v>
      </c>
      <c r="N508" s="123">
        <f t="shared" si="185"/>
        <v>4281809.6559070544</v>
      </c>
      <c r="O508" s="107"/>
      <c r="P508" s="108"/>
      <c r="Q508" s="108"/>
      <c r="R508" s="108"/>
      <c r="S508" s="108">
        <f>+'Приложение №2'!E508</f>
        <v>4281809.6559070544</v>
      </c>
      <c r="T508" s="108"/>
      <c r="U508" s="108">
        <f t="shared" si="186"/>
        <v>1397.7767949293423</v>
      </c>
      <c r="V508" s="108">
        <v>1194.2830200640001</v>
      </c>
      <c r="W508" s="135">
        <v>2024</v>
      </c>
      <c r="X508" s="28" t="e">
        <f>+#REF!-'[1]Приложение №1'!$P928</f>
        <v>#REF!</v>
      </c>
      <c r="Z508" s="30">
        <f>SUM(AA508:AO508)</f>
        <v>26328386.425327532</v>
      </c>
      <c r="AA508" s="26">
        <v>7372697.9505887339</v>
      </c>
      <c r="AB508" s="26">
        <v>0</v>
      </c>
      <c r="AC508" s="26">
        <v>0</v>
      </c>
      <c r="AD508" s="26">
        <v>0</v>
      </c>
      <c r="AE508" s="26">
        <v>0</v>
      </c>
      <c r="AF508" s="26"/>
      <c r="AG508" s="26">
        <v>306104.35376204841</v>
      </c>
      <c r="AH508" s="26">
        <v>0</v>
      </c>
      <c r="AI508" s="26">
        <v>0</v>
      </c>
      <c r="AJ508" s="26">
        <v>0</v>
      </c>
      <c r="AK508" s="26">
        <v>15442160.108254375</v>
      </c>
      <c r="AL508" s="26">
        <v>0</v>
      </c>
      <c r="AM508" s="26">
        <v>2438531.5283692107</v>
      </c>
      <c r="AN508" s="31">
        <v>263283.86425327533</v>
      </c>
      <c r="AO508" s="32">
        <v>505608.62009988801</v>
      </c>
      <c r="AP508" s="77">
        <f>+N508-'Приложение №2'!E508</f>
        <v>0</v>
      </c>
      <c r="AQ508" s="1">
        <f>2222014.06-1338393.95</f>
        <v>883620.1100000001</v>
      </c>
      <c r="AR508" s="1">
        <f>+(K508*10+L508*20)*12*0.85</f>
        <v>453461.39999999997</v>
      </c>
      <c r="AS508" s="1">
        <f>+(K508*10+L508*20)*12*30-994515.5</f>
        <v>15010004.5</v>
      </c>
      <c r="AT508" s="28">
        <f t="shared" si="171"/>
        <v>-10728194.844092946</v>
      </c>
      <c r="AU508" s="28">
        <f>+P508-'[6]Приложение №1'!$P480</f>
        <v>0</v>
      </c>
      <c r="AV508" s="28">
        <f>+Q508-'[6]Приложение №1'!$Q480</f>
        <v>0</v>
      </c>
      <c r="AW508" s="28">
        <f>+R508-'[6]Приложение №1'!$R480</f>
        <v>0</v>
      </c>
      <c r="AX508" s="28">
        <f>+S508-'[6]Приложение №1'!$S480</f>
        <v>0</v>
      </c>
      <c r="AY508" s="28">
        <f>+T508-'[6]Приложение №1'!$T480</f>
        <v>0</v>
      </c>
    </row>
    <row r="509" spans="1:51" x14ac:dyDescent="0.25">
      <c r="A509" s="139">
        <f t="shared" si="178"/>
        <v>490</v>
      </c>
      <c r="B509" s="140">
        <f t="shared" si="179"/>
        <v>28</v>
      </c>
      <c r="C509" s="120" t="s">
        <v>81</v>
      </c>
      <c r="D509" s="120" t="s">
        <v>332</v>
      </c>
      <c r="E509" s="121">
        <v>1988</v>
      </c>
      <c r="F509" s="121">
        <v>2016</v>
      </c>
      <c r="G509" s="121" t="s">
        <v>83</v>
      </c>
      <c r="H509" s="121">
        <v>5</v>
      </c>
      <c r="I509" s="121">
        <v>2</v>
      </c>
      <c r="J509" s="107">
        <v>4366.2</v>
      </c>
      <c r="K509" s="107">
        <v>3056.1</v>
      </c>
      <c r="L509" s="107">
        <v>725.4</v>
      </c>
      <c r="M509" s="122">
        <v>194</v>
      </c>
      <c r="N509" s="123">
        <f t="shared" si="185"/>
        <v>15863907.86463787</v>
      </c>
      <c r="O509" s="107"/>
      <c r="P509" s="108"/>
      <c r="Q509" s="108"/>
      <c r="R509" s="108">
        <f t="shared" ref="R509:R515" si="187">+AQ509+AR509</f>
        <v>2473160.92</v>
      </c>
      <c r="S509" s="108">
        <f>+'Приложение №2'!E509-'Приложение №1'!R509</f>
        <v>13390746.94463787</v>
      </c>
      <c r="T509" s="108">
        <v>4.6566128730773926E-10</v>
      </c>
      <c r="U509" s="108">
        <f t="shared" si="186"/>
        <v>5190.899468158068</v>
      </c>
      <c r="V509" s="108">
        <v>1195.2830200640001</v>
      </c>
      <c r="W509" s="135">
        <v>2024</v>
      </c>
      <c r="X509" s="28" t="e">
        <f>+#REF!-'[1]Приложение №1'!$P929</f>
        <v>#REF!</v>
      </c>
      <c r="Z509" s="30">
        <f>SUM(AA509:AO509)</f>
        <v>32902312.260541573</v>
      </c>
      <c r="AA509" s="26">
        <v>7411972.189002322</v>
      </c>
      <c r="AB509" s="26">
        <v>0</v>
      </c>
      <c r="AC509" s="26">
        <v>0</v>
      </c>
      <c r="AD509" s="26">
        <v>0</v>
      </c>
      <c r="AE509" s="26">
        <v>0</v>
      </c>
      <c r="AF509" s="26"/>
      <c r="AG509" s="26">
        <v>307734.96652411442</v>
      </c>
      <c r="AH509" s="26">
        <v>0</v>
      </c>
      <c r="AI509" s="26">
        <v>0</v>
      </c>
      <c r="AJ509" s="26">
        <v>5603434.9428537479</v>
      </c>
      <c r="AK509" s="26">
        <v>15524420.23633462</v>
      </c>
      <c r="AL509" s="26">
        <v>0</v>
      </c>
      <c r="AM509" s="26">
        <v>3094889.0411501252</v>
      </c>
      <c r="AN509" s="31">
        <v>329023.12260541564</v>
      </c>
      <c r="AO509" s="32">
        <v>630837.7620712209</v>
      </c>
      <c r="AP509" s="77">
        <f>+N509-'Приложение №2'!E509</f>
        <v>0</v>
      </c>
      <c r="AQ509" s="1">
        <v>2013457.12</v>
      </c>
      <c r="AR509" s="1">
        <f>+(K509*10+L509*20)*12*0.85</f>
        <v>459703.8</v>
      </c>
      <c r="AS509" s="1">
        <f>+(K509*10+L509*20)*12*30</f>
        <v>16224840</v>
      </c>
      <c r="AT509" s="28">
        <f t="shared" si="171"/>
        <v>-2834093.0553621296</v>
      </c>
      <c r="AU509" s="28">
        <f>+P509-'[6]Приложение №1'!$P481</f>
        <v>0</v>
      </c>
      <c r="AV509" s="28">
        <f>+Q509-'[6]Приложение №1'!$Q481</f>
        <v>0</v>
      </c>
      <c r="AW509" s="28">
        <f>+R509-'[6]Приложение №1'!$R481</f>
        <v>0</v>
      </c>
      <c r="AX509" s="28">
        <f>+S509-'[6]Приложение №1'!$S481</f>
        <v>0</v>
      </c>
      <c r="AY509" s="28">
        <f>+T509-'[6]Приложение №1'!$T481</f>
        <v>0</v>
      </c>
    </row>
    <row r="510" spans="1:51" x14ac:dyDescent="0.25">
      <c r="A510" s="139">
        <f t="shared" si="178"/>
        <v>491</v>
      </c>
      <c r="B510" s="140">
        <f t="shared" si="179"/>
        <v>29</v>
      </c>
      <c r="C510" s="120" t="s">
        <v>81</v>
      </c>
      <c r="D510" s="120" t="s">
        <v>370</v>
      </c>
      <c r="E510" s="121">
        <v>1985</v>
      </c>
      <c r="F510" s="121">
        <v>2009</v>
      </c>
      <c r="G510" s="121" t="s">
        <v>83</v>
      </c>
      <c r="H510" s="121">
        <v>9</v>
      </c>
      <c r="I510" s="121">
        <v>3</v>
      </c>
      <c r="J510" s="107">
        <v>8711.5</v>
      </c>
      <c r="K510" s="107">
        <v>6822.5</v>
      </c>
      <c r="L510" s="107">
        <v>438.1</v>
      </c>
      <c r="M510" s="122">
        <v>267</v>
      </c>
      <c r="N510" s="123">
        <f t="shared" si="185"/>
        <v>10774080</v>
      </c>
      <c r="O510" s="107"/>
      <c r="P510" s="108"/>
      <c r="Q510" s="108"/>
      <c r="R510" s="108">
        <f t="shared" si="187"/>
        <v>5277721.8474000003</v>
      </c>
      <c r="S510" s="108">
        <f>+'Приложение №2'!E510-'Приложение №1'!R510</f>
        <v>5496358.1525999997</v>
      </c>
      <c r="T510" s="108">
        <v>0</v>
      </c>
      <c r="U510" s="108">
        <f t="shared" si="186"/>
        <v>1579.1982411139611</v>
      </c>
      <c r="V510" s="108">
        <v>1196.2830200640001</v>
      </c>
      <c r="W510" s="135">
        <v>2024</v>
      </c>
      <c r="X510" s="28"/>
      <c r="Z510" s="30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31"/>
      <c r="AO510" s="32"/>
      <c r="AP510" s="77">
        <f>+N510-'Приложение №2'!E510</f>
        <v>0</v>
      </c>
      <c r="AQ510" s="1">
        <v>4252244.07</v>
      </c>
      <c r="AR510" s="1">
        <f>+(K510*13.29+L510*22.52)*12*0.85</f>
        <v>1025477.7773999999</v>
      </c>
      <c r="AS510" s="1">
        <f>+(K510*13.29+L510*22.52)*12*30</f>
        <v>36193333.32</v>
      </c>
      <c r="AT510" s="28">
        <f t="shared" si="171"/>
        <v>-30696975.167400002</v>
      </c>
      <c r="AU510" s="28">
        <f>+P510-'[6]Приложение №1'!$P482</f>
        <v>0</v>
      </c>
      <c r="AV510" s="28">
        <f>+Q510-'[6]Приложение №1'!$Q482</f>
        <v>0</v>
      </c>
      <c r="AW510" s="28">
        <f>+R510-'[6]Приложение №1'!$R482</f>
        <v>0</v>
      </c>
      <c r="AX510" s="28">
        <f>+S510-'[6]Приложение №1'!$S482</f>
        <v>0</v>
      </c>
      <c r="AY510" s="28">
        <f>+T510-'[6]Приложение №1'!$T482</f>
        <v>0</v>
      </c>
    </row>
    <row r="511" spans="1:51" x14ac:dyDescent="0.25">
      <c r="A511" s="139">
        <f t="shared" si="178"/>
        <v>492</v>
      </c>
      <c r="B511" s="140">
        <f t="shared" si="179"/>
        <v>30</v>
      </c>
      <c r="C511" s="120" t="s">
        <v>81</v>
      </c>
      <c r="D511" s="120" t="s">
        <v>283</v>
      </c>
      <c r="E511" s="121">
        <v>1981</v>
      </c>
      <c r="F511" s="121">
        <v>2016</v>
      </c>
      <c r="G511" s="121" t="s">
        <v>43</v>
      </c>
      <c r="H511" s="121">
        <v>4</v>
      </c>
      <c r="I511" s="121">
        <v>3</v>
      </c>
      <c r="J511" s="107">
        <v>3910.2</v>
      </c>
      <c r="K511" s="107">
        <v>2017.9</v>
      </c>
      <c r="L511" s="107">
        <v>997.9</v>
      </c>
      <c r="M511" s="122">
        <v>113</v>
      </c>
      <c r="N511" s="123">
        <f t="shared" si="185"/>
        <v>2789837.5587991653</v>
      </c>
      <c r="O511" s="107"/>
      <c r="P511" s="108">
        <v>749476.04747032025</v>
      </c>
      <c r="Q511" s="108"/>
      <c r="R511" s="108">
        <f t="shared" si="187"/>
        <v>557135.78</v>
      </c>
      <c r="S511" s="108">
        <f>+'Приложение №2'!E511-'Приложение №1'!P511-R511</f>
        <v>1483225.731328845</v>
      </c>
      <c r="T511" s="108">
        <v>0</v>
      </c>
      <c r="U511" s="108">
        <f t="shared" si="186"/>
        <v>1382.5450016349498</v>
      </c>
      <c r="V511" s="108">
        <v>1197.2830200640001</v>
      </c>
      <c r="W511" s="135">
        <v>2024</v>
      </c>
      <c r="X511" s="28" t="e">
        <f>+#REF!-'[1]Приложение №1'!$P1497</f>
        <v>#REF!</v>
      </c>
      <c r="Z511" s="30">
        <f t="shared" ref="Z511:Z522" si="188">SUM(AA511:AO511)</f>
        <v>33549604.466355495</v>
      </c>
      <c r="AA511" s="26">
        <v>9163753.0558547936</v>
      </c>
      <c r="AB511" s="26">
        <v>4716823.2</v>
      </c>
      <c r="AC511" s="26">
        <v>2695930.7316036122</v>
      </c>
      <c r="AD511" s="26">
        <v>0</v>
      </c>
      <c r="AE511" s="26">
        <v>0</v>
      </c>
      <c r="AF511" s="26"/>
      <c r="AG511" s="26">
        <v>295975.88879684091</v>
      </c>
      <c r="AH511" s="26">
        <v>0</v>
      </c>
      <c r="AI511" s="26">
        <v>13238455.132672109</v>
      </c>
      <c r="AJ511" s="26">
        <v>0</v>
      </c>
      <c r="AK511" s="26">
        <v>0</v>
      </c>
      <c r="AL511" s="26">
        <v>0</v>
      </c>
      <c r="AM511" s="26">
        <v>2552926.0485136751</v>
      </c>
      <c r="AN511" s="31">
        <v>295470.26754077495</v>
      </c>
      <c r="AO511" s="32">
        <v>590270.14137369313</v>
      </c>
      <c r="AP511" s="77">
        <f>+N511-'Приложение №2'!E511</f>
        <v>0</v>
      </c>
      <c r="AQ511" s="28">
        <f>954415.48-R34</f>
        <v>147738.38000000012</v>
      </c>
      <c r="AR511" s="1">
        <f>+(K511*10+L511*20)*12*0.85</f>
        <v>409397.39999999997</v>
      </c>
      <c r="AS511" s="1">
        <f>+(K511*10+L511*20)*12*30-S34</f>
        <v>4697779.103543859</v>
      </c>
      <c r="AT511" s="28">
        <f t="shared" si="171"/>
        <v>-3214553.372215014</v>
      </c>
      <c r="AU511" s="28">
        <f>+P511-'[6]Приложение №1'!$P483</f>
        <v>0</v>
      </c>
      <c r="AV511" s="28">
        <f>+Q511-'[6]Приложение №1'!$Q483</f>
        <v>0</v>
      </c>
      <c r="AW511" s="28">
        <f>+R511-'[6]Приложение №1'!$R483</f>
        <v>0</v>
      </c>
      <c r="AX511" s="28">
        <f>+S511-'[6]Приложение №1'!$S483</f>
        <v>0</v>
      </c>
      <c r="AY511" s="28">
        <f>+T511-'[6]Приложение №1'!$T483</f>
        <v>0</v>
      </c>
    </row>
    <row r="512" spans="1:51" x14ac:dyDescent="0.25">
      <c r="A512" s="139">
        <f t="shared" si="178"/>
        <v>493</v>
      </c>
      <c r="B512" s="140">
        <f t="shared" si="179"/>
        <v>31</v>
      </c>
      <c r="C512" s="120" t="s">
        <v>81</v>
      </c>
      <c r="D512" s="120" t="s">
        <v>333</v>
      </c>
      <c r="E512" s="121">
        <v>1992</v>
      </c>
      <c r="F512" s="121">
        <v>2012</v>
      </c>
      <c r="G512" s="121" t="s">
        <v>83</v>
      </c>
      <c r="H512" s="121">
        <v>9</v>
      </c>
      <c r="I512" s="121">
        <v>1</v>
      </c>
      <c r="J512" s="107">
        <v>2875.6</v>
      </c>
      <c r="K512" s="107">
        <v>2204.5</v>
      </c>
      <c r="L512" s="107">
        <v>292.8</v>
      </c>
      <c r="M512" s="122">
        <v>65</v>
      </c>
      <c r="N512" s="123">
        <f t="shared" si="185"/>
        <v>6261773.3525414057</v>
      </c>
      <c r="O512" s="107"/>
      <c r="P512" s="108"/>
      <c r="Q512" s="108"/>
      <c r="R512" s="108">
        <f t="shared" si="187"/>
        <v>1901281.1421999999</v>
      </c>
      <c r="S512" s="108">
        <f>+'Приложение №2'!E512-'Приложение №1'!R512</f>
        <v>4360492.2103414061</v>
      </c>
      <c r="T512" s="108">
        <v>2.3283064365386963E-10</v>
      </c>
      <c r="U512" s="108">
        <f t="shared" si="186"/>
        <v>2840.450602196147</v>
      </c>
      <c r="V512" s="108">
        <v>1198.2830200640001</v>
      </c>
      <c r="W512" s="135">
        <v>2024</v>
      </c>
      <c r="X512" s="28" t="e">
        <f>+#REF!-'[1]Приложение №1'!$P941</f>
        <v>#REF!</v>
      </c>
      <c r="Z512" s="30">
        <f t="shared" si="188"/>
        <v>8952042.0564937461</v>
      </c>
      <c r="AA512" s="26">
        <v>5934192.4713683669</v>
      </c>
      <c r="AB512" s="26">
        <v>0</v>
      </c>
      <c r="AC512" s="26">
        <v>1753610.8507606245</v>
      </c>
      <c r="AD512" s="26">
        <v>0</v>
      </c>
      <c r="AE512" s="26">
        <v>0</v>
      </c>
      <c r="AF512" s="26"/>
      <c r="AG512" s="26">
        <v>263647.88892809901</v>
      </c>
      <c r="AH512" s="26">
        <v>0</v>
      </c>
      <c r="AI512" s="26">
        <v>0</v>
      </c>
      <c r="AJ512" s="26">
        <v>0</v>
      </c>
      <c r="AK512" s="26">
        <v>0</v>
      </c>
      <c r="AL512" s="26">
        <v>0</v>
      </c>
      <c r="AM512" s="26">
        <v>737188.29129658756</v>
      </c>
      <c r="AN512" s="31">
        <v>89520.420564937449</v>
      </c>
      <c r="AO512" s="32">
        <v>173882.1335751295</v>
      </c>
      <c r="AP512" s="77">
        <f>+N512-'Приложение №2'!E512</f>
        <v>0</v>
      </c>
      <c r="AQ512" s="1">
        <v>1535186.2</v>
      </c>
      <c r="AR512" s="1">
        <f>+(K512*13.29+L512*22.52)*12*0.85</f>
        <v>366094.94219999993</v>
      </c>
      <c r="AS512" s="1">
        <f>+(K512*13.29+L512*22.52)*12*30</f>
        <v>12920997.959999997</v>
      </c>
      <c r="AT512" s="28">
        <f t="shared" si="171"/>
        <v>-8560505.749658592</v>
      </c>
      <c r="AU512" s="28">
        <f>+P512-'[6]Приложение №1'!$P484</f>
        <v>0</v>
      </c>
      <c r="AV512" s="28">
        <f>+Q512-'[6]Приложение №1'!$Q484</f>
        <v>0</v>
      </c>
      <c r="AW512" s="28">
        <f>+R512-'[6]Приложение №1'!$R484</f>
        <v>0</v>
      </c>
      <c r="AX512" s="28">
        <f>+S512-'[6]Приложение №1'!$S484</f>
        <v>0</v>
      </c>
      <c r="AY512" s="28">
        <f>+T512-'[6]Приложение №1'!$T484</f>
        <v>0</v>
      </c>
    </row>
    <row r="513" spans="1:51" x14ac:dyDescent="0.25">
      <c r="A513" s="139">
        <f t="shared" si="178"/>
        <v>494</v>
      </c>
      <c r="B513" s="140">
        <f t="shared" si="179"/>
        <v>32</v>
      </c>
      <c r="C513" s="120" t="s">
        <v>81</v>
      </c>
      <c r="D513" s="120" t="s">
        <v>334</v>
      </c>
      <c r="E513" s="121">
        <v>1987</v>
      </c>
      <c r="F513" s="121">
        <v>2017</v>
      </c>
      <c r="G513" s="121" t="s">
        <v>83</v>
      </c>
      <c r="H513" s="121">
        <v>9</v>
      </c>
      <c r="I513" s="121">
        <v>5</v>
      </c>
      <c r="J513" s="107">
        <v>12266.2</v>
      </c>
      <c r="K513" s="107">
        <v>9496.7999999999993</v>
      </c>
      <c r="L513" s="107">
        <v>175.7</v>
      </c>
      <c r="M513" s="122">
        <v>406</v>
      </c>
      <c r="N513" s="123">
        <f t="shared" si="185"/>
        <v>24639934.329513032</v>
      </c>
      <c r="O513" s="107"/>
      <c r="P513" s="108"/>
      <c r="Q513" s="108"/>
      <c r="R513" s="108">
        <f t="shared" si="187"/>
        <v>6977187.2571999999</v>
      </c>
      <c r="S513" s="108">
        <f>+'Приложение №2'!E513-'Приложение №1'!R513</f>
        <v>17662747.072313033</v>
      </c>
      <c r="T513" s="108">
        <v>0</v>
      </c>
      <c r="U513" s="108">
        <f t="shared" si="186"/>
        <v>2594.5512519493968</v>
      </c>
      <c r="V513" s="108">
        <v>1199.2830200640001</v>
      </c>
      <c r="W513" s="135">
        <v>2024</v>
      </c>
      <c r="X513" s="28" t="e">
        <f>+#REF!-'[1]Приложение №1'!$P568</f>
        <v>#REF!</v>
      </c>
      <c r="Z513" s="30">
        <f t="shared" si="188"/>
        <v>34827835.576784134</v>
      </c>
      <c r="AA513" s="26">
        <v>23086920.098178856</v>
      </c>
      <c r="AB513" s="26">
        <v>0</v>
      </c>
      <c r="AC513" s="26">
        <v>6822406.5515479343</v>
      </c>
      <c r="AD513" s="26">
        <v>0</v>
      </c>
      <c r="AE513" s="26">
        <v>0</v>
      </c>
      <c r="AF513" s="26"/>
      <c r="AG513" s="26">
        <v>1025719.6366825957</v>
      </c>
      <c r="AH513" s="26">
        <v>0</v>
      </c>
      <c r="AI513" s="26">
        <v>0</v>
      </c>
      <c r="AJ513" s="26">
        <v>0</v>
      </c>
      <c r="AK513" s="26">
        <v>0</v>
      </c>
      <c r="AL513" s="26">
        <v>0</v>
      </c>
      <c r="AM513" s="26">
        <v>2868024.1263817325</v>
      </c>
      <c r="AN513" s="31">
        <v>348278.35576784139</v>
      </c>
      <c r="AO513" s="32">
        <v>676486.80822517979</v>
      </c>
      <c r="AP513" s="77">
        <f>+N513-'Приложение №2'!E513</f>
        <v>0</v>
      </c>
      <c r="AQ513" s="1">
        <v>5649461.0499999998</v>
      </c>
      <c r="AR513" s="1">
        <f>+(K513*13.29+L513*22.52)*12*0.85</f>
        <v>1327726.2071999998</v>
      </c>
      <c r="AS513" s="1">
        <f>+(K513*13.29+L513*22.52)*12*30</f>
        <v>46860924.959999993</v>
      </c>
      <c r="AT513" s="28">
        <f t="shared" si="171"/>
        <v>-29198177.88768696</v>
      </c>
      <c r="AU513" s="28">
        <f>+P513-'[6]Приложение №1'!$P485</f>
        <v>0</v>
      </c>
      <c r="AV513" s="28">
        <f>+Q513-'[6]Приложение №1'!$Q485</f>
        <v>0</v>
      </c>
      <c r="AW513" s="28">
        <f>+R513-'[6]Приложение №1'!$R485</f>
        <v>0</v>
      </c>
      <c r="AX513" s="28">
        <f>+S513-'[6]Приложение №1'!$S485</f>
        <v>0</v>
      </c>
      <c r="AY513" s="28">
        <f>+T513-'[6]Приложение №1'!$T485</f>
        <v>0</v>
      </c>
    </row>
    <row r="514" spans="1:51" x14ac:dyDescent="0.25">
      <c r="A514" s="139">
        <f t="shared" si="178"/>
        <v>495</v>
      </c>
      <c r="B514" s="140">
        <f t="shared" si="179"/>
        <v>33</v>
      </c>
      <c r="C514" s="120" t="s">
        <v>81</v>
      </c>
      <c r="D514" s="120" t="s">
        <v>335</v>
      </c>
      <c r="E514" s="121">
        <v>1997</v>
      </c>
      <c r="F514" s="121">
        <v>1997</v>
      </c>
      <c r="G514" s="121" t="s">
        <v>83</v>
      </c>
      <c r="H514" s="121">
        <v>9</v>
      </c>
      <c r="I514" s="121">
        <v>1</v>
      </c>
      <c r="J514" s="107">
        <v>2892.9</v>
      </c>
      <c r="K514" s="107">
        <v>2475.6999999999998</v>
      </c>
      <c r="L514" s="107">
        <v>0</v>
      </c>
      <c r="M514" s="122">
        <v>81</v>
      </c>
      <c r="N514" s="123">
        <f t="shared" si="185"/>
        <v>13615505.81675427</v>
      </c>
      <c r="O514" s="107"/>
      <c r="P514" s="108">
        <f>+'Приложение №2'!E514-'Приложение №1'!R514-'Приложение №1'!S514</f>
        <v>0</v>
      </c>
      <c r="Q514" s="108"/>
      <c r="R514" s="108">
        <f t="shared" si="187"/>
        <v>1789671.8205999997</v>
      </c>
      <c r="S514" s="108">
        <f>+'Приложение №2'!E514-'Приложение №1'!R514</f>
        <v>11825833.996154271</v>
      </c>
      <c r="T514" s="108">
        <f>+'Приложение №2'!E514-'Приложение №1'!P514-'Приложение №1'!Q514-'Приложение №1'!R514-'Приложение №1'!S514</f>
        <v>0</v>
      </c>
      <c r="U514" s="108">
        <f t="shared" si="186"/>
        <v>5499.6590123012766</v>
      </c>
      <c r="V514" s="108">
        <v>1200.2830200640001</v>
      </c>
      <c r="W514" s="135">
        <v>2024</v>
      </c>
      <c r="X514" s="28" t="e">
        <f>+#REF!-'[1]Приложение №1'!$P1334</f>
        <v>#REF!</v>
      </c>
      <c r="Z514" s="30">
        <f t="shared" si="188"/>
        <v>15958327.596498143</v>
      </c>
      <c r="AA514" s="26">
        <v>5934192.4713683669</v>
      </c>
      <c r="AB514" s="26">
        <v>2374242.9576923214</v>
      </c>
      <c r="AC514" s="26">
        <v>1753610.8507606245</v>
      </c>
      <c r="AD514" s="26">
        <v>1120637.726412365</v>
      </c>
      <c r="AE514" s="26">
        <v>0</v>
      </c>
      <c r="AF514" s="26"/>
      <c r="AG514" s="26">
        <v>263647.88892809901</v>
      </c>
      <c r="AH514" s="26">
        <v>0</v>
      </c>
      <c r="AI514" s="26">
        <v>2597035.6702842941</v>
      </c>
      <c r="AJ514" s="26">
        <v>0</v>
      </c>
      <c r="AK514" s="26">
        <v>0</v>
      </c>
      <c r="AL514" s="26">
        <v>0</v>
      </c>
      <c r="AM514" s="26">
        <v>1448276.7490575134</v>
      </c>
      <c r="AN514" s="31">
        <v>159583.27596498144</v>
      </c>
      <c r="AO514" s="32">
        <v>307100.00602957892</v>
      </c>
      <c r="AP514" s="77">
        <f>+N514-'Приложение №2'!E514</f>
        <v>0</v>
      </c>
      <c r="AQ514" s="1">
        <v>1454070.88</v>
      </c>
      <c r="AR514" s="1">
        <f>+(K514*13.29+L514*22.52)*12*0.85</f>
        <v>335600.94059999991</v>
      </c>
      <c r="AS514" s="1">
        <f>+(K514*13.29+L514*22.52)*12*30</f>
        <v>11844739.079999998</v>
      </c>
      <c r="AT514" s="28">
        <f t="shared" si="171"/>
        <v>-18905.083845727146</v>
      </c>
      <c r="AU514" s="28">
        <f>+P514-'[6]Приложение №1'!$P486</f>
        <v>0</v>
      </c>
      <c r="AV514" s="28">
        <f>+Q514-'[6]Приложение №1'!$Q486</f>
        <v>0</v>
      </c>
      <c r="AW514" s="28">
        <f>+R514-'[6]Приложение №1'!$R486</f>
        <v>0</v>
      </c>
      <c r="AX514" s="28">
        <f>+S514-'[6]Приложение №1'!$S486</f>
        <v>0</v>
      </c>
      <c r="AY514" s="28">
        <f>+T514-'[6]Приложение №1'!$T486</f>
        <v>0</v>
      </c>
    </row>
    <row r="515" spans="1:51" x14ac:dyDescent="0.25">
      <c r="A515" s="139">
        <f t="shared" si="178"/>
        <v>496</v>
      </c>
      <c r="B515" s="140">
        <f t="shared" si="179"/>
        <v>34</v>
      </c>
      <c r="C515" s="120" t="s">
        <v>81</v>
      </c>
      <c r="D515" s="120" t="s">
        <v>336</v>
      </c>
      <c r="E515" s="121">
        <v>1987</v>
      </c>
      <c r="F515" s="121">
        <v>2016</v>
      </c>
      <c r="G515" s="121" t="s">
        <v>83</v>
      </c>
      <c r="H515" s="121">
        <v>5</v>
      </c>
      <c r="I515" s="121">
        <v>4</v>
      </c>
      <c r="J515" s="107">
        <v>5812.1</v>
      </c>
      <c r="K515" s="107">
        <v>4766.5</v>
      </c>
      <c r="L515" s="107">
        <v>87</v>
      </c>
      <c r="M515" s="122">
        <v>201</v>
      </c>
      <c r="N515" s="123">
        <f t="shared" si="185"/>
        <v>30335468.022675067</v>
      </c>
      <c r="O515" s="107"/>
      <c r="P515" s="108">
        <v>3288504.7317224042</v>
      </c>
      <c r="Q515" s="108"/>
      <c r="R515" s="108">
        <f t="shared" si="187"/>
        <v>2857758.32</v>
      </c>
      <c r="S515" s="108">
        <f>+AS515</f>
        <v>17785800</v>
      </c>
      <c r="T515" s="108">
        <f>+'Приложение №2'!E515-'Приложение №1'!P515-'Приложение №1'!R515-'Приложение №1'!S515</f>
        <v>6403404.9709526636</v>
      </c>
      <c r="U515" s="108">
        <f t="shared" si="186"/>
        <v>6364.3067287685026</v>
      </c>
      <c r="V515" s="108">
        <v>1201.2830200640001</v>
      </c>
      <c r="W515" s="135">
        <v>2024</v>
      </c>
      <c r="X515" s="28" t="e">
        <f>+#REF!-'[1]Приложение №1'!$P570</f>
        <v>#REF!</v>
      </c>
      <c r="Z515" s="30">
        <f t="shared" si="188"/>
        <v>8348211.4144000001</v>
      </c>
      <c r="AA515" s="26">
        <v>0</v>
      </c>
      <c r="AB515" s="26">
        <v>0</v>
      </c>
      <c r="AC515" s="26">
        <v>0</v>
      </c>
      <c r="AD515" s="26">
        <v>0</v>
      </c>
      <c r="AE515" s="26">
        <v>0</v>
      </c>
      <c r="AF515" s="26"/>
      <c r="AG515" s="26">
        <v>0</v>
      </c>
      <c r="AH515" s="26">
        <v>0</v>
      </c>
      <c r="AI515" s="26">
        <v>0</v>
      </c>
      <c r="AJ515" s="26">
        <v>7270908.124217337</v>
      </c>
      <c r="AK515" s="26">
        <v>0</v>
      </c>
      <c r="AL515" s="26">
        <v>0</v>
      </c>
      <c r="AM515" s="26">
        <v>834821.14144000004</v>
      </c>
      <c r="AN515" s="31">
        <v>83482.114144000006</v>
      </c>
      <c r="AO515" s="32">
        <v>159000.0345986624</v>
      </c>
      <c r="AP515" s="77">
        <f>+N515-'Приложение №2'!E515</f>
        <v>0</v>
      </c>
      <c r="AQ515" s="1">
        <v>2353827.3199999998</v>
      </c>
      <c r="AR515" s="1">
        <f>+(K515*10+L515*20)*12*0.85</f>
        <v>503931</v>
      </c>
      <c r="AS515" s="1">
        <f>+(K515*10+L515*20)*12*30</f>
        <v>17785800</v>
      </c>
      <c r="AT515" s="28">
        <f t="shared" si="171"/>
        <v>0</v>
      </c>
      <c r="AU515" s="28">
        <f>+P515-'[6]Приложение №1'!$P487</f>
        <v>0</v>
      </c>
      <c r="AV515" s="28">
        <f>+Q515-'[6]Приложение №1'!$Q487</f>
        <v>0</v>
      </c>
      <c r="AW515" s="28">
        <f>+R515-'[6]Приложение №1'!$R487</f>
        <v>0</v>
      </c>
      <c r="AX515" s="28">
        <f>+S515-'[6]Приложение №1'!$S487</f>
        <v>0</v>
      </c>
      <c r="AY515" s="28">
        <f>+T515-'[6]Приложение №1'!$T487</f>
        <v>0</v>
      </c>
    </row>
    <row r="516" spans="1:51" x14ac:dyDescent="0.25">
      <c r="A516" s="139">
        <f t="shared" si="178"/>
        <v>497</v>
      </c>
      <c r="B516" s="140">
        <f t="shared" si="179"/>
        <v>35</v>
      </c>
      <c r="C516" s="120" t="s">
        <v>82</v>
      </c>
      <c r="D516" s="120" t="s">
        <v>337</v>
      </c>
      <c r="E516" s="121">
        <v>1991</v>
      </c>
      <c r="F516" s="121">
        <v>2007</v>
      </c>
      <c r="G516" s="121" t="s">
        <v>83</v>
      </c>
      <c r="H516" s="121">
        <v>9</v>
      </c>
      <c r="I516" s="121">
        <v>5</v>
      </c>
      <c r="J516" s="107">
        <v>17171.8</v>
      </c>
      <c r="K516" s="107">
        <v>14372.9</v>
      </c>
      <c r="L516" s="107">
        <v>1885.6</v>
      </c>
      <c r="M516" s="122">
        <v>500</v>
      </c>
      <c r="N516" s="123">
        <f t="shared" si="185"/>
        <v>17956800</v>
      </c>
      <c r="O516" s="107"/>
      <c r="P516" s="108">
        <f>+'Приложение №2'!E516-'Приложение №1'!R516</f>
        <v>7716317.4366000015</v>
      </c>
      <c r="Q516" s="108"/>
      <c r="R516" s="108">
        <v>10240482.563399998</v>
      </c>
      <c r="S516" s="111"/>
      <c r="T516" s="108"/>
      <c r="U516" s="108">
        <f t="shared" si="186"/>
        <v>1249.3512095680064</v>
      </c>
      <c r="V516" s="108">
        <v>1202.2830200640001</v>
      </c>
      <c r="W516" s="135">
        <v>2024</v>
      </c>
      <c r="X516" s="28" t="e">
        <f>+#REF!-'[1]Приложение №1'!$P174</f>
        <v>#REF!</v>
      </c>
      <c r="Z516" s="30">
        <f t="shared" si="188"/>
        <v>41065952.285400696</v>
      </c>
      <c r="AA516" s="26">
        <v>35121361.789660126</v>
      </c>
      <c r="AB516" s="26">
        <v>0</v>
      </c>
      <c r="AC516" s="26">
        <v>0</v>
      </c>
      <c r="AD516" s="26">
        <v>0</v>
      </c>
      <c r="AE516" s="26">
        <v>0</v>
      </c>
      <c r="AF516" s="26"/>
      <c r="AG516" s="26">
        <v>1560393.0841138863</v>
      </c>
      <c r="AH516" s="26">
        <v>0</v>
      </c>
      <c r="AI516" s="26">
        <v>0</v>
      </c>
      <c r="AJ516" s="26">
        <v>0</v>
      </c>
      <c r="AK516" s="26">
        <v>0</v>
      </c>
      <c r="AL516" s="26">
        <v>0</v>
      </c>
      <c r="AM516" s="26">
        <v>3171382.2027939623</v>
      </c>
      <c r="AN516" s="31">
        <v>410659.52285400691</v>
      </c>
      <c r="AO516" s="32">
        <v>802155.68597870832</v>
      </c>
      <c r="AP516" s="77">
        <f>+N516-'Приложение №2'!E516</f>
        <v>0</v>
      </c>
      <c r="AR516" s="1">
        <f>+(K516*13.29+L516*22.52)*12*0.85</f>
        <v>2381491.4405999999</v>
      </c>
      <c r="AS516" s="1">
        <f>+(K516*13.29+L516*22.52)*12*30</f>
        <v>84052639.079999998</v>
      </c>
      <c r="AT516" s="28">
        <f t="shared" si="171"/>
        <v>-84052639.079999998</v>
      </c>
      <c r="AU516" s="28">
        <f>+P516-'[6]Приложение №1'!$P488</f>
        <v>0</v>
      </c>
      <c r="AV516" s="28">
        <f>+Q516-'[6]Приложение №1'!$Q488</f>
        <v>0</v>
      </c>
      <c r="AW516" s="28">
        <f>+R516-'[6]Приложение №1'!$R488</f>
        <v>0</v>
      </c>
      <c r="AX516" s="28">
        <f>+S516-'[6]Приложение №1'!$S488</f>
        <v>0</v>
      </c>
      <c r="AY516" s="28">
        <f>+T516-'[6]Приложение №1'!$T488</f>
        <v>0</v>
      </c>
    </row>
    <row r="517" spans="1:51" x14ac:dyDescent="0.25">
      <c r="A517" s="139">
        <f t="shared" si="178"/>
        <v>498</v>
      </c>
      <c r="B517" s="140">
        <f t="shared" si="179"/>
        <v>36</v>
      </c>
      <c r="C517" s="120" t="s">
        <v>82</v>
      </c>
      <c r="D517" s="120" t="s">
        <v>338</v>
      </c>
      <c r="E517" s="121">
        <v>1992</v>
      </c>
      <c r="F517" s="121">
        <v>2008</v>
      </c>
      <c r="G517" s="121" t="s">
        <v>83</v>
      </c>
      <c r="H517" s="121">
        <v>9</v>
      </c>
      <c r="I517" s="121">
        <v>5</v>
      </c>
      <c r="J517" s="107">
        <v>17240</v>
      </c>
      <c r="K517" s="107">
        <v>14691.6</v>
      </c>
      <c r="L517" s="107">
        <v>793.1</v>
      </c>
      <c r="M517" s="122">
        <v>518</v>
      </c>
      <c r="N517" s="123">
        <f t="shared" si="185"/>
        <v>17956800</v>
      </c>
      <c r="O517" s="107"/>
      <c r="P517" s="108">
        <f>207528.1202+6635786.94</f>
        <v>6843315.0602000002</v>
      </c>
      <c r="Q517" s="108"/>
      <c r="R517" s="108">
        <v>7749271.8798000002</v>
      </c>
      <c r="S517" s="111"/>
      <c r="T517" s="108">
        <f>+'Приложение №2'!E517-'Приложение №1'!P517-'Приложение №1'!R517</f>
        <v>3364213.0599999996</v>
      </c>
      <c r="U517" s="108">
        <f t="shared" si="186"/>
        <v>1222.249448664543</v>
      </c>
      <c r="V517" s="108">
        <v>1203.2830200640001</v>
      </c>
      <c r="W517" s="135">
        <v>2024</v>
      </c>
      <c r="X517" s="28" t="e">
        <f>+#REF!-'[1]Приложение №1'!$P175</f>
        <v>#REF!</v>
      </c>
      <c r="Z517" s="30">
        <f t="shared" si="188"/>
        <v>41205480.870442264</v>
      </c>
      <c r="AA517" s="26">
        <v>35240692.613433242</v>
      </c>
      <c r="AB517" s="26">
        <v>0</v>
      </c>
      <c r="AC517" s="26">
        <v>0</v>
      </c>
      <c r="AD517" s="26">
        <v>0</v>
      </c>
      <c r="AE517" s="26">
        <v>0</v>
      </c>
      <c r="AF517" s="26"/>
      <c r="AG517" s="26">
        <v>1565694.7860596243</v>
      </c>
      <c r="AH517" s="26">
        <v>0</v>
      </c>
      <c r="AI517" s="26">
        <v>0</v>
      </c>
      <c r="AJ517" s="26">
        <v>0</v>
      </c>
      <c r="AK517" s="26">
        <v>0</v>
      </c>
      <c r="AL517" s="26">
        <v>0</v>
      </c>
      <c r="AM517" s="26">
        <v>3182157.5153523218</v>
      </c>
      <c r="AN517" s="31">
        <v>412054.80870442267</v>
      </c>
      <c r="AO517" s="32">
        <v>804881.14689265017</v>
      </c>
      <c r="AP517" s="77">
        <f>+N517-'Приложение №2'!E517</f>
        <v>0</v>
      </c>
      <c r="AQ517" s="1">
        <v>620</v>
      </c>
      <c r="AR517" s="1">
        <f>+(K517*13.29+L517*22.52)*12*0.85</f>
        <v>2173742.1551999999</v>
      </c>
      <c r="AS517" s="1">
        <f>+(K517*13.29+L517*22.52)*12*30</f>
        <v>76720311.359999999</v>
      </c>
      <c r="AT517" s="28">
        <f t="shared" si="171"/>
        <v>-76720311.359999999</v>
      </c>
      <c r="AU517" s="28">
        <f>+P517-'[6]Приложение №1'!$P489</f>
        <v>0</v>
      </c>
      <c r="AV517" s="28">
        <f>+Q517-'[6]Приложение №1'!$Q489</f>
        <v>0</v>
      </c>
      <c r="AW517" s="28">
        <f>+R517-'[6]Приложение №1'!$R489</f>
        <v>0</v>
      </c>
      <c r="AX517" s="28">
        <f>+S517-'[6]Приложение №1'!$S489</f>
        <v>0</v>
      </c>
      <c r="AY517" s="28">
        <f>+T517-'[6]Приложение №1'!$T489</f>
        <v>0</v>
      </c>
    </row>
    <row r="518" spans="1:51" x14ac:dyDescent="0.25">
      <c r="A518" s="139">
        <f t="shared" si="178"/>
        <v>499</v>
      </c>
      <c r="B518" s="140">
        <f t="shared" si="179"/>
        <v>37</v>
      </c>
      <c r="C518" s="120" t="s">
        <v>81</v>
      </c>
      <c r="D518" s="120" t="s">
        <v>305</v>
      </c>
      <c r="E518" s="121">
        <v>1990</v>
      </c>
      <c r="F518" s="121">
        <v>2017</v>
      </c>
      <c r="G518" s="121" t="s">
        <v>83</v>
      </c>
      <c r="H518" s="121">
        <v>9</v>
      </c>
      <c r="I518" s="121">
        <v>1</v>
      </c>
      <c r="J518" s="107">
        <v>3216.7</v>
      </c>
      <c r="K518" s="107">
        <v>2758.3</v>
      </c>
      <c r="L518" s="107">
        <v>0</v>
      </c>
      <c r="M518" s="122">
        <v>101</v>
      </c>
      <c r="N518" s="123">
        <f t="shared" si="185"/>
        <v>1275449.2849021249</v>
      </c>
      <c r="O518" s="107"/>
      <c r="P518" s="108"/>
      <c r="Q518" s="108"/>
      <c r="R518" s="108">
        <f>+AQ518+AR518</f>
        <v>1009698.5878754712</v>
      </c>
      <c r="S518" s="108">
        <f>+'Приложение №2'!E518-'Приложение №1'!R518</f>
        <v>265750.69702665368</v>
      </c>
      <c r="T518" s="108">
        <v>0</v>
      </c>
      <c r="U518" s="108">
        <f t="shared" si="186"/>
        <v>462.404120256</v>
      </c>
      <c r="V518" s="108">
        <v>1205.2830200640001</v>
      </c>
      <c r="W518" s="135">
        <v>2024</v>
      </c>
      <c r="X518" s="28" t="e">
        <f>+#REF!-'[1]Приложение №1'!$P1312</f>
        <v>#REF!</v>
      </c>
      <c r="Z518" s="30">
        <f t="shared" si="188"/>
        <v>15264572.541393431</v>
      </c>
      <c r="AA518" s="26">
        <v>8237660.7623945801</v>
      </c>
      <c r="AB518" s="26">
        <v>3295849.9656590605</v>
      </c>
      <c r="AC518" s="26">
        <v>0</v>
      </c>
      <c r="AD518" s="26">
        <v>1555634.312885293</v>
      </c>
      <c r="AE518" s="26">
        <v>0</v>
      </c>
      <c r="AF518" s="26"/>
      <c r="AG518" s="26">
        <v>365987.77006138454</v>
      </c>
      <c r="AH518" s="26">
        <v>0</v>
      </c>
      <c r="AI518" s="26">
        <v>0</v>
      </c>
      <c r="AJ518" s="26">
        <v>0</v>
      </c>
      <c r="AK518" s="26">
        <v>0</v>
      </c>
      <c r="AL518" s="26">
        <v>0</v>
      </c>
      <c r="AM518" s="26">
        <v>1362557.5016525821</v>
      </c>
      <c r="AN518" s="31">
        <v>152645.7254139343</v>
      </c>
      <c r="AO518" s="32">
        <v>294236.50332659599</v>
      </c>
      <c r="AP518" s="77">
        <f>+N518-'Приложение №2'!E518</f>
        <v>0</v>
      </c>
      <c r="AQ518" s="28">
        <f>1661335.31-R235</f>
        <v>635788.95647547115</v>
      </c>
      <c r="AR518" s="1">
        <f>+(K518*13.29+L518*22.52)*12*0.85</f>
        <v>373909.63140000001</v>
      </c>
      <c r="AS518" s="1">
        <f>+(K518*13.29+L518*22.52)*12*30-S235</f>
        <v>13196810.52</v>
      </c>
      <c r="AT518" s="28">
        <f t="shared" si="171"/>
        <v>-12931059.822973346</v>
      </c>
      <c r="AU518" s="28">
        <f>+P518-'[6]Приложение №1'!$P490</f>
        <v>0</v>
      </c>
      <c r="AV518" s="28">
        <f>+Q518-'[6]Приложение №1'!$Q490</f>
        <v>0</v>
      </c>
      <c r="AW518" s="28">
        <f>+R518-'[6]Приложение №1'!$R490</f>
        <v>0</v>
      </c>
      <c r="AX518" s="28">
        <f>+S518-'[6]Приложение №1'!$S490</f>
        <v>0</v>
      </c>
      <c r="AY518" s="28">
        <f>+T518-'[6]Приложение №1'!$T490</f>
        <v>0</v>
      </c>
    </row>
    <row r="519" spans="1:51" x14ac:dyDescent="0.25">
      <c r="A519" s="139">
        <f t="shared" si="178"/>
        <v>500</v>
      </c>
      <c r="B519" s="140">
        <f t="shared" si="179"/>
        <v>38</v>
      </c>
      <c r="C519" s="120" t="s">
        <v>81</v>
      </c>
      <c r="D519" s="120" t="s">
        <v>339</v>
      </c>
      <c r="E519" s="121">
        <v>1988</v>
      </c>
      <c r="F519" s="121">
        <v>2016</v>
      </c>
      <c r="G519" s="121" t="s">
        <v>83</v>
      </c>
      <c r="H519" s="121">
        <v>5</v>
      </c>
      <c r="I519" s="121">
        <v>6</v>
      </c>
      <c r="J519" s="107">
        <v>5149.1000000000004</v>
      </c>
      <c r="K519" s="107">
        <v>4596.3999999999996</v>
      </c>
      <c r="L519" s="107">
        <v>0</v>
      </c>
      <c r="M519" s="122">
        <v>197</v>
      </c>
      <c r="N519" s="123">
        <f t="shared" si="185"/>
        <v>22487460.02870208</v>
      </c>
      <c r="O519" s="107"/>
      <c r="P519" s="108">
        <v>2733720.5987020801</v>
      </c>
      <c r="Q519" s="108"/>
      <c r="R519" s="108">
        <f>+AQ519+AR519</f>
        <v>2624004.63</v>
      </c>
      <c r="S519" s="108">
        <f>+AS519</f>
        <v>16547040</v>
      </c>
      <c r="T519" s="108">
        <f>+'Приложение №2'!E519-'Приложение №1'!P519-'Приложение №1'!Q519-'Приложение №1'!R519-'Приложение №1'!S519</f>
        <v>582694.80000000075</v>
      </c>
      <c r="U519" s="108">
        <f t="shared" si="186"/>
        <v>4892.4071074541125</v>
      </c>
      <c r="V519" s="108">
        <v>1206.2830200640001</v>
      </c>
      <c r="W519" s="135">
        <v>2024</v>
      </c>
      <c r="X519" s="28" t="e">
        <f>+#REF!-'[1]Приложение №1'!$P951</f>
        <v>#REF!</v>
      </c>
      <c r="Z519" s="30">
        <f t="shared" si="188"/>
        <v>22653297.02870208</v>
      </c>
      <c r="AA519" s="26">
        <v>0</v>
      </c>
      <c r="AB519" s="26">
        <v>0</v>
      </c>
      <c r="AC519" s="26">
        <v>0</v>
      </c>
      <c r="AD519" s="26">
        <v>0</v>
      </c>
      <c r="AE519" s="26">
        <v>0</v>
      </c>
      <c r="AF519" s="26"/>
      <c r="AG519" s="26">
        <v>0</v>
      </c>
      <c r="AH519" s="26">
        <v>0</v>
      </c>
      <c r="AI519" s="26">
        <v>0</v>
      </c>
      <c r="AJ519" s="26">
        <v>0</v>
      </c>
      <c r="AK519" s="26">
        <v>22006228.384087857</v>
      </c>
      <c r="AL519" s="26">
        <v>0</v>
      </c>
      <c r="AM519" s="26">
        <v>141837</v>
      </c>
      <c r="AN519" s="26">
        <v>24000</v>
      </c>
      <c r="AO519" s="32">
        <v>481231.6446142245</v>
      </c>
      <c r="AP519" s="77">
        <f>+N519-'Приложение №2'!E519</f>
        <v>0</v>
      </c>
      <c r="AQ519" s="1">
        <v>2155171.83</v>
      </c>
      <c r="AR519" s="1">
        <f>+(K519*10+L519*20)*12*0.85</f>
        <v>468832.8</v>
      </c>
      <c r="AS519" s="1">
        <f>+(K519*10+L519*20)*12*30</f>
        <v>16547040</v>
      </c>
      <c r="AT519" s="28">
        <f t="shared" si="171"/>
        <v>0</v>
      </c>
      <c r="AU519" s="28">
        <f>+P519-'[6]Приложение №1'!$P491</f>
        <v>0</v>
      </c>
      <c r="AV519" s="28">
        <f>+Q519-'[6]Приложение №1'!$Q491</f>
        <v>0</v>
      </c>
      <c r="AW519" s="28">
        <f>+R519-'[6]Приложение №1'!$R491</f>
        <v>0</v>
      </c>
      <c r="AX519" s="28">
        <f>+S519-'[6]Приложение №1'!$S491</f>
        <v>0</v>
      </c>
      <c r="AY519" s="28">
        <f>+T519-'[6]Приложение №1'!$T491</f>
        <v>0</v>
      </c>
    </row>
    <row r="520" spans="1:51" x14ac:dyDescent="0.25">
      <c r="A520" s="139">
        <f t="shared" si="178"/>
        <v>501</v>
      </c>
      <c r="B520" s="140">
        <f t="shared" si="179"/>
        <v>39</v>
      </c>
      <c r="C520" s="120" t="s">
        <v>81</v>
      </c>
      <c r="D520" s="120" t="s">
        <v>340</v>
      </c>
      <c r="E520" s="121">
        <v>1994</v>
      </c>
      <c r="F520" s="121">
        <v>2017</v>
      </c>
      <c r="G520" s="121" t="s">
        <v>83</v>
      </c>
      <c r="H520" s="121">
        <v>10</v>
      </c>
      <c r="I520" s="121">
        <v>1</v>
      </c>
      <c r="J520" s="107">
        <v>3265.2</v>
      </c>
      <c r="K520" s="107">
        <v>2810.5</v>
      </c>
      <c r="L520" s="107">
        <v>0</v>
      </c>
      <c r="M520" s="122">
        <v>90</v>
      </c>
      <c r="N520" s="123">
        <f t="shared" si="185"/>
        <v>3346381.5039214548</v>
      </c>
      <c r="O520" s="107"/>
      <c r="P520" s="108"/>
      <c r="Q520" s="108"/>
      <c r="R520" s="108">
        <f>+AQ520+AR520</f>
        <v>2103623.1689999998</v>
      </c>
      <c r="S520" s="108">
        <f>+'Приложение №2'!E520-'Приложение №1'!R520</f>
        <v>1242758.334921455</v>
      </c>
      <c r="T520" s="108">
        <v>0</v>
      </c>
      <c r="U520" s="108">
        <f t="shared" si="186"/>
        <v>1190.6712342719995</v>
      </c>
      <c r="V520" s="108">
        <v>1207.2830200640001</v>
      </c>
      <c r="W520" s="135">
        <v>2024</v>
      </c>
      <c r="X520" s="28" t="e">
        <f>+#REF!-'[1]Приложение №1'!$P954</f>
        <v>#REF!</v>
      </c>
      <c r="Z520" s="30">
        <f t="shared" si="188"/>
        <v>3340785.3491203776</v>
      </c>
      <c r="AA520" s="26">
        <v>0</v>
      </c>
      <c r="AB520" s="26">
        <v>0</v>
      </c>
      <c r="AC520" s="26">
        <v>0</v>
      </c>
      <c r="AD520" s="26">
        <v>0</v>
      </c>
      <c r="AE520" s="26">
        <v>0</v>
      </c>
      <c r="AF520" s="26"/>
      <c r="AG520" s="26">
        <v>0</v>
      </c>
      <c r="AH520" s="26">
        <v>0</v>
      </c>
      <c r="AI520" s="26">
        <v>2942363.2883842816</v>
      </c>
      <c r="AJ520" s="26">
        <v>0</v>
      </c>
      <c r="AK520" s="26">
        <v>0</v>
      </c>
      <c r="AL520" s="26">
        <v>0</v>
      </c>
      <c r="AM520" s="26">
        <v>300670.68142083398</v>
      </c>
      <c r="AN520" s="31">
        <v>33407.853491203779</v>
      </c>
      <c r="AO520" s="32">
        <v>64343.525824058474</v>
      </c>
      <c r="AP520" s="77">
        <f>+N520-'Приложение №2'!E520</f>
        <v>0</v>
      </c>
      <c r="AQ520" s="1">
        <v>1722637.41</v>
      </c>
      <c r="AR520" s="1">
        <f>+(K520*13.29+L520*22.52)*12*0.85</f>
        <v>380985.75899999996</v>
      </c>
      <c r="AS520" s="1">
        <f>+(K520*13.29+L520*22.52)*12*30</f>
        <v>13446556.199999999</v>
      </c>
      <c r="AT520" s="28">
        <f t="shared" si="171"/>
        <v>-12203797.865078544</v>
      </c>
      <c r="AU520" s="28">
        <f>+P520-'[6]Приложение №1'!$P492</f>
        <v>0</v>
      </c>
      <c r="AV520" s="28">
        <f>+Q520-'[6]Приложение №1'!$Q492</f>
        <v>0</v>
      </c>
      <c r="AW520" s="28">
        <f>+R520-'[6]Приложение №1'!$R492</f>
        <v>0</v>
      </c>
      <c r="AX520" s="28">
        <f>+S520-'[6]Приложение №1'!$S492</f>
        <v>-73481.910286885221</v>
      </c>
      <c r="AY520" s="28">
        <f>+T520-'[6]Приложение №1'!$T492</f>
        <v>0</v>
      </c>
    </row>
    <row r="521" spans="1:51" x14ac:dyDescent="0.25">
      <c r="A521" s="139">
        <f t="shared" si="178"/>
        <v>502</v>
      </c>
      <c r="B521" s="140">
        <f t="shared" si="179"/>
        <v>40</v>
      </c>
      <c r="C521" s="120" t="s">
        <v>81</v>
      </c>
      <c r="D521" s="120" t="s">
        <v>341</v>
      </c>
      <c r="E521" s="121">
        <v>1989</v>
      </c>
      <c r="F521" s="121">
        <v>2017</v>
      </c>
      <c r="G521" s="121" t="s">
        <v>83</v>
      </c>
      <c r="H521" s="121">
        <v>10</v>
      </c>
      <c r="I521" s="121">
        <v>1</v>
      </c>
      <c r="J521" s="107">
        <v>3562.9</v>
      </c>
      <c r="K521" s="107">
        <v>3068</v>
      </c>
      <c r="L521" s="107">
        <v>0</v>
      </c>
      <c r="M521" s="122">
        <v>120</v>
      </c>
      <c r="N521" s="123">
        <f t="shared" si="185"/>
        <v>12899085.295824001</v>
      </c>
      <c r="O521" s="107"/>
      <c r="P521" s="108"/>
      <c r="Q521" s="108"/>
      <c r="R521" s="108">
        <f>+AQ521+AR521</f>
        <v>2214546.784</v>
      </c>
      <c r="S521" s="108">
        <f>+'Приложение №2'!E521-'Приложение №1'!R521</f>
        <v>10684538.511824001</v>
      </c>
      <c r="T521" s="108">
        <v>0</v>
      </c>
      <c r="U521" s="108">
        <f t="shared" si="186"/>
        <v>4204.3954680000006</v>
      </c>
      <c r="V521" s="108">
        <v>1208.2830200640001</v>
      </c>
      <c r="W521" s="135">
        <v>2024</v>
      </c>
      <c r="X521" s="28" t="e">
        <f>+#REF!-'[1]Приложение №1'!$P955</f>
        <v>#REF!</v>
      </c>
      <c r="Z521" s="30">
        <f t="shared" si="188"/>
        <v>21469720.476183783</v>
      </c>
      <c r="AA521" s="26">
        <v>7342919.2042241972</v>
      </c>
      <c r="AB521" s="26">
        <v>2937868.0070875632</v>
      </c>
      <c r="AC521" s="26">
        <v>0</v>
      </c>
      <c r="AD521" s="26">
        <v>0</v>
      </c>
      <c r="AE521" s="26">
        <v>0</v>
      </c>
      <c r="AF521" s="26"/>
      <c r="AG521" s="26">
        <v>326235.65145619493</v>
      </c>
      <c r="AH521" s="26">
        <v>0</v>
      </c>
      <c r="AI521" s="26">
        <v>3213549.8114351672</v>
      </c>
      <c r="AJ521" s="26">
        <v>5105615.6190507403</v>
      </c>
      <c r="AK521" s="26">
        <v>0</v>
      </c>
      <c r="AL521" s="26">
        <v>0</v>
      </c>
      <c r="AM521" s="26">
        <v>1914957.5722048364</v>
      </c>
      <c r="AN521" s="31">
        <v>214697.20476183784</v>
      </c>
      <c r="AO521" s="32">
        <v>413877.40596324624</v>
      </c>
      <c r="AP521" s="77">
        <f>+N521-'Приложение №2'!E521</f>
        <v>0</v>
      </c>
      <c r="AQ521" s="1">
        <v>1798654.84</v>
      </c>
      <c r="AR521" s="1">
        <f>+(K521*13.29+L521*22.52)*12*0.85</f>
        <v>415891.9439999999</v>
      </c>
      <c r="AS521" s="1">
        <f>+(K521*13.29+L521*22.52)*12*30</f>
        <v>14678539.199999997</v>
      </c>
      <c r="AT521" s="28">
        <f t="shared" si="171"/>
        <v>-3994000.6881759968</v>
      </c>
      <c r="AU521" s="28">
        <f>+P521-'[6]Приложение №1'!$P493</f>
        <v>0</v>
      </c>
      <c r="AV521" s="28">
        <f>+Q521-'[6]Приложение №1'!$Q493</f>
        <v>0</v>
      </c>
      <c r="AW521" s="28">
        <f>+R521-'[6]Приложение №1'!$R493</f>
        <v>0</v>
      </c>
      <c r="AX521" s="28">
        <f>+S521-'[6]Приложение №1'!$S493</f>
        <v>1395883.3363170829</v>
      </c>
      <c r="AY521" s="28">
        <f>+T521-'[6]Приложение №1'!$T493</f>
        <v>0</v>
      </c>
    </row>
    <row r="522" spans="1:51" x14ac:dyDescent="0.25">
      <c r="A522" s="139">
        <f t="shared" si="178"/>
        <v>503</v>
      </c>
      <c r="B522" s="140">
        <f t="shared" si="179"/>
        <v>41</v>
      </c>
      <c r="C522" s="120" t="s">
        <v>81</v>
      </c>
      <c r="D522" s="120" t="s">
        <v>342</v>
      </c>
      <c r="E522" s="121">
        <v>1989</v>
      </c>
      <c r="F522" s="121">
        <v>2016</v>
      </c>
      <c r="G522" s="121" t="s">
        <v>83</v>
      </c>
      <c r="H522" s="121">
        <v>5</v>
      </c>
      <c r="I522" s="121">
        <v>4</v>
      </c>
      <c r="J522" s="107">
        <v>5827.1</v>
      </c>
      <c r="K522" s="107">
        <v>4877.5</v>
      </c>
      <c r="L522" s="107">
        <v>0</v>
      </c>
      <c r="M522" s="122">
        <v>218</v>
      </c>
      <c r="N522" s="123">
        <f t="shared" si="185"/>
        <v>18513063.03403087</v>
      </c>
      <c r="O522" s="107"/>
      <c r="P522" s="108"/>
      <c r="Q522" s="108"/>
      <c r="R522" s="108">
        <f>+AQ522+AR522</f>
        <v>2791378.78</v>
      </c>
      <c r="S522" s="108">
        <f>+'Приложение №2'!E522-'Приложение №1'!R522</f>
        <v>15721684.25403087</v>
      </c>
      <c r="T522" s="108">
        <v>0</v>
      </c>
      <c r="U522" s="108">
        <f t="shared" si="186"/>
        <v>3795.6049275306755</v>
      </c>
      <c r="V522" s="108">
        <v>1209.2830200640001</v>
      </c>
      <c r="W522" s="135">
        <v>2024</v>
      </c>
      <c r="X522" s="28" t="e">
        <f>+#REF!-'[1]Приложение №1'!$P573</f>
        <v>#REF!</v>
      </c>
      <c r="Z522" s="30">
        <f t="shared" si="188"/>
        <v>20671116.862985976</v>
      </c>
      <c r="AA522" s="26">
        <v>9672123.3663251549</v>
      </c>
      <c r="AB522" s="26">
        <v>4139883.059433911</v>
      </c>
      <c r="AC522" s="26">
        <v>0</v>
      </c>
      <c r="AD522" s="26">
        <v>3903303.7014767192</v>
      </c>
      <c r="AE522" s="26">
        <v>0</v>
      </c>
      <c r="AF522" s="26"/>
      <c r="AG522" s="26">
        <v>401573.35786682391</v>
      </c>
      <c r="AH522" s="26">
        <v>0</v>
      </c>
      <c r="AI522" s="26">
        <v>0</v>
      </c>
      <c r="AJ522" s="26">
        <v>0</v>
      </c>
      <c r="AK522" s="26">
        <v>0</v>
      </c>
      <c r="AL522" s="26">
        <v>0</v>
      </c>
      <c r="AM522" s="26">
        <v>1951342.6603252462</v>
      </c>
      <c r="AN522" s="31">
        <v>206711.16862985978</v>
      </c>
      <c r="AO522" s="32">
        <v>396179.54892826063</v>
      </c>
      <c r="AP522" s="77">
        <f>+N522-'Приложение №2'!E522</f>
        <v>0</v>
      </c>
      <c r="AQ522" s="1">
        <v>2293873.7799999998</v>
      </c>
      <c r="AR522" s="1">
        <f>+(K522*10+L522*20)*12*0.85</f>
        <v>497505</v>
      </c>
      <c r="AS522" s="1">
        <f>+(K522*10+L522*20)*12*30</f>
        <v>17559000</v>
      </c>
      <c r="AT522" s="28">
        <f t="shared" si="171"/>
        <v>-1837315.7459691297</v>
      </c>
      <c r="AU522" s="28">
        <f>+P522-'[6]Приложение №1'!$P494</f>
        <v>0</v>
      </c>
      <c r="AV522" s="28">
        <f>+Q522-'[6]Приложение №1'!$Q494</f>
        <v>0</v>
      </c>
      <c r="AW522" s="28">
        <f>+R522-'[6]Приложение №1'!$R494</f>
        <v>0</v>
      </c>
      <c r="AX522" s="28">
        <f>+S522-'[6]Приложение №1'!$S494</f>
        <v>0</v>
      </c>
      <c r="AY522" s="28">
        <f>+T522-'[6]Приложение №1'!$T494</f>
        <v>0</v>
      </c>
    </row>
    <row r="523" spans="1:51" x14ac:dyDescent="0.25">
      <c r="A523" s="139">
        <f t="shared" si="178"/>
        <v>504</v>
      </c>
      <c r="B523" s="140">
        <f t="shared" si="179"/>
        <v>42</v>
      </c>
      <c r="C523" s="120" t="s">
        <v>81</v>
      </c>
      <c r="D523" s="120" t="s">
        <v>343</v>
      </c>
      <c r="E523" s="121">
        <v>1994</v>
      </c>
      <c r="F523" s="121">
        <v>1994</v>
      </c>
      <c r="G523" s="121" t="s">
        <v>83</v>
      </c>
      <c r="H523" s="121">
        <v>10</v>
      </c>
      <c r="I523" s="121">
        <v>1</v>
      </c>
      <c r="J523" s="107">
        <v>4860.7</v>
      </c>
      <c r="K523" s="107">
        <v>4172.3999999999996</v>
      </c>
      <c r="L523" s="107">
        <v>0</v>
      </c>
      <c r="M523" s="122">
        <v>162</v>
      </c>
      <c r="N523" s="123">
        <f t="shared" si="185"/>
        <v>3591360</v>
      </c>
      <c r="O523" s="107"/>
      <c r="P523" s="108"/>
      <c r="Q523" s="108"/>
      <c r="R523" s="108">
        <v>2136734.9907999998</v>
      </c>
      <c r="S523" s="111"/>
      <c r="T523" s="108">
        <f>+'Приложение №2'!E523-'Приложение №1'!R523</f>
        <v>1454625.0092000002</v>
      </c>
      <c r="U523" s="108">
        <f t="shared" si="186"/>
        <v>860.74201898188096</v>
      </c>
      <c r="V523" s="108">
        <v>1210.2830200640001</v>
      </c>
      <c r="W523" s="135">
        <v>2024</v>
      </c>
      <c r="X523" s="28"/>
      <c r="Z523" s="30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31"/>
      <c r="AO523" s="32"/>
      <c r="AP523" s="77">
        <f>+N523-'Приложение №2'!E523</f>
        <v>0</v>
      </c>
      <c r="AR523" s="1">
        <f>+(K523*13.29+L523*22.52)*12*0.85</f>
        <v>565602.1991999998</v>
      </c>
      <c r="AS523" s="1">
        <f>+(K523*13.29+L523*22.52)*12*30</f>
        <v>19962430.559999995</v>
      </c>
      <c r="AT523" s="28">
        <f t="shared" si="171"/>
        <v>-19962430.559999995</v>
      </c>
      <c r="AU523" s="28">
        <f>+P523-'[6]Приложение №1'!$P495</f>
        <v>0</v>
      </c>
      <c r="AV523" s="28">
        <f>+Q523-'[6]Приложение №1'!$Q495</f>
        <v>0</v>
      </c>
      <c r="AW523" s="28">
        <f>+R523-'[6]Приложение №1'!$R495</f>
        <v>0</v>
      </c>
      <c r="AX523" s="28">
        <f>+S523-'[6]Приложение №1'!$S495</f>
        <v>0</v>
      </c>
      <c r="AY523" s="28">
        <f>+T523-'[6]Приложение №1'!$T495</f>
        <v>0</v>
      </c>
    </row>
    <row r="524" spans="1:51" x14ac:dyDescent="0.25">
      <c r="A524" s="139">
        <f t="shared" si="178"/>
        <v>505</v>
      </c>
      <c r="B524" s="140">
        <f t="shared" si="179"/>
        <v>43</v>
      </c>
      <c r="C524" s="120" t="s">
        <v>81</v>
      </c>
      <c r="D524" s="120" t="s">
        <v>225</v>
      </c>
      <c r="E524" s="121">
        <v>1994</v>
      </c>
      <c r="F524" s="121">
        <v>1994</v>
      </c>
      <c r="G524" s="121" t="s">
        <v>83</v>
      </c>
      <c r="H524" s="121">
        <v>10</v>
      </c>
      <c r="I524" s="121">
        <v>1</v>
      </c>
      <c r="J524" s="107">
        <v>3200.9</v>
      </c>
      <c r="K524" s="107">
        <v>2751.2</v>
      </c>
      <c r="L524" s="107">
        <v>0</v>
      </c>
      <c r="M524" s="122">
        <v>107</v>
      </c>
      <c r="N524" s="123">
        <f t="shared" si="185"/>
        <v>14159244.434273491</v>
      </c>
      <c r="O524" s="107"/>
      <c r="P524" s="108">
        <v>1140762.2226702368</v>
      </c>
      <c r="Q524" s="108"/>
      <c r="R524" s="108">
        <f>+AQ524+AR524</f>
        <v>1819924.9996</v>
      </c>
      <c r="S524" s="108">
        <f>+'Приложение №2'!E524-'Приложение №1'!P524-'Приложение №1'!Q524-'Приложение №1'!R524</f>
        <v>11198557.212003253</v>
      </c>
      <c r="T524" s="108"/>
      <c r="U524" s="108">
        <f t="shared" si="186"/>
        <v>5146.5703817510512</v>
      </c>
      <c r="V524" s="108">
        <v>1211.2830200640001</v>
      </c>
      <c r="W524" s="135">
        <v>2024</v>
      </c>
      <c r="X524" s="28" t="e">
        <f>+#REF!-'[1]Приложение №1'!$P957</f>
        <v>#REF!</v>
      </c>
      <c r="Z524" s="30">
        <f t="shared" ref="Z524:Z533" si="189">SUM(AA524:AO524)</f>
        <v>19454250.558480944</v>
      </c>
      <c r="AA524" s="26">
        <v>0</v>
      </c>
      <c r="AB524" s="26">
        <v>0</v>
      </c>
      <c r="AC524" s="26">
        <v>0</v>
      </c>
      <c r="AD524" s="26">
        <v>0</v>
      </c>
      <c r="AE524" s="26">
        <v>0</v>
      </c>
      <c r="AF524" s="26"/>
      <c r="AG524" s="26">
        <v>0</v>
      </c>
      <c r="AH524" s="26">
        <v>0</v>
      </c>
      <c r="AI524" s="26">
        <v>0</v>
      </c>
      <c r="AJ524" s="26">
        <v>0</v>
      </c>
      <c r="AK524" s="26">
        <v>18910849.804207452</v>
      </c>
      <c r="AL524" s="26">
        <v>0</v>
      </c>
      <c r="AM524" s="26">
        <v>105858.77</v>
      </c>
      <c r="AN524" s="26">
        <v>24000</v>
      </c>
      <c r="AO524" s="32">
        <v>413541.98427349224</v>
      </c>
      <c r="AP524" s="77">
        <f>+N524-'Приложение №2'!E524</f>
        <v>0</v>
      </c>
      <c r="AQ524" s="1">
        <f>1634745.79-187767.96</f>
        <v>1446977.83</v>
      </c>
      <c r="AR524" s="1">
        <f>+(K524*13.29+L524*22.52)*12*0.85</f>
        <v>372947.16959999991</v>
      </c>
      <c r="AS524" s="1">
        <f>+(K524*13.29+L524*22.52)*12*30-105832.49</f>
        <v>13057008.789999997</v>
      </c>
      <c r="AT524" s="28">
        <f t="shared" si="171"/>
        <v>-1858451.5779967438</v>
      </c>
      <c r="AU524" s="28">
        <f>+P524-'[6]Приложение №1'!$P496</f>
        <v>0</v>
      </c>
      <c r="AV524" s="28">
        <f>+Q524-'[6]Приложение №1'!$Q496</f>
        <v>0</v>
      </c>
      <c r="AW524" s="28">
        <f>+R524-'[6]Приложение №1'!$R496</f>
        <v>0</v>
      </c>
      <c r="AX524" s="28">
        <f>+S524-'[6]Приложение №1'!$S496</f>
        <v>0</v>
      </c>
      <c r="AY524" s="28">
        <f>+T524-'[6]Приложение №1'!$T496</f>
        <v>0</v>
      </c>
    </row>
    <row r="525" spans="1:51" x14ac:dyDescent="0.25">
      <c r="A525" s="139">
        <f t="shared" si="178"/>
        <v>506</v>
      </c>
      <c r="B525" s="140">
        <f t="shared" si="179"/>
        <v>44</v>
      </c>
      <c r="C525" s="120" t="s">
        <v>81</v>
      </c>
      <c r="D525" s="120" t="s">
        <v>307</v>
      </c>
      <c r="E525" s="121">
        <v>1995</v>
      </c>
      <c r="F525" s="121">
        <v>2010</v>
      </c>
      <c r="G525" s="121" t="s">
        <v>83</v>
      </c>
      <c r="H525" s="121">
        <v>9</v>
      </c>
      <c r="I525" s="121">
        <v>1</v>
      </c>
      <c r="J525" s="107">
        <v>2996.5</v>
      </c>
      <c r="K525" s="107">
        <v>2550.1</v>
      </c>
      <c r="L525" s="107">
        <v>76.599999999999994</v>
      </c>
      <c r="M525" s="122">
        <v>83</v>
      </c>
      <c r="N525" s="123">
        <f t="shared" si="185"/>
        <v>28151375.461213589</v>
      </c>
      <c r="O525" s="107"/>
      <c r="P525" s="108">
        <v>3090162.8634445257</v>
      </c>
      <c r="Q525" s="108"/>
      <c r="R525" s="108">
        <f>+AQ525+AR525</f>
        <v>437725.94620000006</v>
      </c>
      <c r="S525" s="108">
        <f>+AS525</f>
        <v>12322887.476784125</v>
      </c>
      <c r="T525" s="108">
        <f>+'Приложение №2'!E525-'Приложение №1'!P525-'Приложение №1'!R525-'Приложение №1'!S525</f>
        <v>12300599.17478494</v>
      </c>
      <c r="U525" s="108">
        <f t="shared" si="186"/>
        <v>11039.322168234026</v>
      </c>
      <c r="V525" s="108">
        <v>1212.2830200640001</v>
      </c>
      <c r="W525" s="135">
        <v>2024</v>
      </c>
      <c r="X525" s="28" t="e">
        <f>+#REF!-'[1]Приложение №1'!$P1320</f>
        <v>#REF!</v>
      </c>
      <c r="Z525" s="30">
        <f t="shared" si="189"/>
        <v>13446173.905525668</v>
      </c>
      <c r="AA525" s="26">
        <v>6133316.7977849664</v>
      </c>
      <c r="AB525" s="26">
        <v>2453911.6795918704</v>
      </c>
      <c r="AC525" s="26">
        <v>1812454.0010526525</v>
      </c>
      <c r="AD525" s="26">
        <v>1158241.1970624225</v>
      </c>
      <c r="AE525" s="26">
        <v>0</v>
      </c>
      <c r="AF525" s="26"/>
      <c r="AG525" s="26">
        <v>272494.70482550462</v>
      </c>
      <c r="AH525" s="26">
        <v>0</v>
      </c>
      <c r="AI525" s="26">
        <v>0</v>
      </c>
      <c r="AJ525" s="26">
        <v>0</v>
      </c>
      <c r="AK525" s="26">
        <v>0</v>
      </c>
      <c r="AL525" s="26">
        <v>0</v>
      </c>
      <c r="AM525" s="26">
        <v>1222586.4968225325</v>
      </c>
      <c r="AN525" s="31">
        <v>134461.73905525671</v>
      </c>
      <c r="AO525" s="32">
        <v>258707.28933046467</v>
      </c>
      <c r="AP525" s="77">
        <f>+N525-'Приложение №2'!E525</f>
        <v>0</v>
      </c>
      <c r="AQ525" s="28">
        <f>1427710.38-R238</f>
        <v>74444.164000000106</v>
      </c>
      <c r="AR525" s="1">
        <f>+(K525*13.29+L525*22.52)*12*0.85</f>
        <v>363281.78219999996</v>
      </c>
      <c r="AS525" s="1">
        <f>+(K525*13.29+L525*22.52)*12*30-S238</f>
        <v>12322887.476784125</v>
      </c>
      <c r="AT525" s="28">
        <f t="shared" si="171"/>
        <v>0</v>
      </c>
      <c r="AU525" s="28">
        <f>+P525-'[6]Приложение №1'!$P497</f>
        <v>0</v>
      </c>
      <c r="AV525" s="28">
        <f>+Q525-'[6]Приложение №1'!$Q497</f>
        <v>0</v>
      </c>
      <c r="AW525" s="28">
        <f>+R525-'[6]Приложение №1'!$R497</f>
        <v>0</v>
      </c>
      <c r="AX525" s="28">
        <f>+S525-'[6]Приложение №1'!$S497</f>
        <v>0</v>
      </c>
      <c r="AY525" s="28">
        <f>+T525-'[6]Приложение №1'!$T497</f>
        <v>0</v>
      </c>
    </row>
    <row r="526" spans="1:51" x14ac:dyDescent="0.25">
      <c r="A526" s="139">
        <f t="shared" si="178"/>
        <v>507</v>
      </c>
      <c r="B526" s="140">
        <f t="shared" si="179"/>
        <v>45</v>
      </c>
      <c r="C526" s="120" t="s">
        <v>81</v>
      </c>
      <c r="D526" s="120" t="s">
        <v>224</v>
      </c>
      <c r="E526" s="121">
        <v>1994</v>
      </c>
      <c r="F526" s="121">
        <v>1994</v>
      </c>
      <c r="G526" s="121" t="s">
        <v>83</v>
      </c>
      <c r="H526" s="121">
        <v>10</v>
      </c>
      <c r="I526" s="121">
        <v>1</v>
      </c>
      <c r="J526" s="107">
        <v>3166.2</v>
      </c>
      <c r="K526" s="107">
        <v>2444.1</v>
      </c>
      <c r="L526" s="107">
        <v>336.1</v>
      </c>
      <c r="M526" s="122">
        <v>81</v>
      </c>
      <c r="N526" s="123">
        <f t="shared" si="185"/>
        <v>7069135.474907618</v>
      </c>
      <c r="O526" s="107"/>
      <c r="P526" s="108"/>
      <c r="Q526" s="108"/>
      <c r="R526" s="108">
        <f>+AQ526+AR526</f>
        <v>739592.79219999991</v>
      </c>
      <c r="S526" s="108">
        <f>+'Приложение №2'!E526-'Приложение №1'!R526</f>
        <v>6329542.682707618</v>
      </c>
      <c r="T526" s="108">
        <v>0</v>
      </c>
      <c r="U526" s="108">
        <f t="shared" si="186"/>
        <v>2892.3266130304073</v>
      </c>
      <c r="V526" s="108">
        <v>1213.2830200640001</v>
      </c>
      <c r="W526" s="135">
        <v>2024</v>
      </c>
      <c r="X526" s="28" t="e">
        <f>+#REF!-'[1]Приложение №1'!$P576</f>
        <v>#REF!</v>
      </c>
      <c r="Z526" s="30">
        <f t="shared" si="189"/>
        <v>9992018.8381021637</v>
      </c>
      <c r="AA526" s="26">
        <v>6623579.5797926262</v>
      </c>
      <c r="AB526" s="26">
        <v>0</v>
      </c>
      <c r="AC526" s="26">
        <v>1957331.3602554079</v>
      </c>
      <c r="AD526" s="26">
        <v>0</v>
      </c>
      <c r="AE526" s="26">
        <v>0</v>
      </c>
      <c r="AF526" s="26"/>
      <c r="AG526" s="26">
        <v>294276.39595196897</v>
      </c>
      <c r="AH526" s="26">
        <v>0</v>
      </c>
      <c r="AI526" s="26">
        <v>0</v>
      </c>
      <c r="AJ526" s="26">
        <v>0</v>
      </c>
      <c r="AK526" s="26">
        <v>0</v>
      </c>
      <c r="AL526" s="26">
        <v>0</v>
      </c>
      <c r="AM526" s="26">
        <v>822828.94197537948</v>
      </c>
      <c r="AN526" s="31">
        <v>99920.188381021639</v>
      </c>
      <c r="AO526" s="32">
        <v>194082.37174575933</v>
      </c>
      <c r="AP526" s="77">
        <f>+N526-'Приложение №2'!E526</f>
        <v>0</v>
      </c>
      <c r="AQ526" s="1">
        <f>1768426.79-363720.72-1073634.1</f>
        <v>331071.96999999997</v>
      </c>
      <c r="AR526" s="1">
        <f>+(K526*13.29+L526*22.52)*12*0.85</f>
        <v>408520.82219999994</v>
      </c>
      <c r="AS526" s="1">
        <f>+(K526*13.29+L526*22.52)*12*30-166487.48-2093121.55</f>
        <v>12158772.929999998</v>
      </c>
      <c r="AT526" s="28">
        <f t="shared" si="171"/>
        <v>-5829230.2472923798</v>
      </c>
      <c r="AU526" s="28">
        <f>+P526-'[6]Приложение №1'!$P498</f>
        <v>0</v>
      </c>
      <c r="AV526" s="28">
        <f>+Q526-'[6]Приложение №1'!$Q498</f>
        <v>0</v>
      </c>
      <c r="AW526" s="28">
        <f>+R526-'[6]Приложение №1'!$R498</f>
        <v>0</v>
      </c>
      <c r="AX526" s="28">
        <f>+S526-'[6]Приложение №1'!$S498</f>
        <v>0</v>
      </c>
      <c r="AY526" s="28">
        <f>+T526-'[6]Приложение №1'!$T498</f>
        <v>0</v>
      </c>
    </row>
    <row r="527" spans="1:51" x14ac:dyDescent="0.25">
      <c r="A527" s="139">
        <f t="shared" si="178"/>
        <v>508</v>
      </c>
      <c r="B527" s="140">
        <f t="shared" si="179"/>
        <v>46</v>
      </c>
      <c r="C527" s="120" t="s">
        <v>81</v>
      </c>
      <c r="D527" s="120" t="s">
        <v>293</v>
      </c>
      <c r="E527" s="121">
        <v>1990</v>
      </c>
      <c r="F527" s="121">
        <v>1990</v>
      </c>
      <c r="G527" s="121" t="s">
        <v>83</v>
      </c>
      <c r="H527" s="121">
        <v>5</v>
      </c>
      <c r="I527" s="121">
        <v>8</v>
      </c>
      <c r="J527" s="107">
        <v>7467.3</v>
      </c>
      <c r="K527" s="107">
        <v>6603.4</v>
      </c>
      <c r="L527" s="107">
        <v>0</v>
      </c>
      <c r="M527" s="122">
        <v>290</v>
      </c>
      <c r="N527" s="123">
        <f t="shared" si="185"/>
        <v>5116420.3570661396</v>
      </c>
      <c r="O527" s="107"/>
      <c r="P527" s="108">
        <v>1268562.6795129601</v>
      </c>
      <c r="Q527" s="108"/>
      <c r="R527" s="108">
        <f>+AR527</f>
        <v>673546.79999999993</v>
      </c>
      <c r="S527" s="108">
        <f>+'Приложение №2'!E527-'Приложение №1'!P527-R527</f>
        <v>3174310.8775531789</v>
      </c>
      <c r="T527" s="108">
        <f>+'Приложение №2'!E527-'Приложение №1'!P527-'Приложение №1'!Q527-'Приложение №1'!R527-'Приложение №1'!S527</f>
        <v>0</v>
      </c>
      <c r="U527" s="108">
        <f t="shared" si="186"/>
        <v>774.81605794986524</v>
      </c>
      <c r="V527" s="108">
        <v>1214.2830200640001</v>
      </c>
      <c r="W527" s="135">
        <v>2024</v>
      </c>
      <c r="X527" s="28" t="e">
        <f>+#REF!-'[1]Приложение №1'!$P367</f>
        <v>#REF!</v>
      </c>
      <c r="Z527" s="30">
        <f t="shared" si="189"/>
        <v>55317447.938477099</v>
      </c>
      <c r="AA527" s="26">
        <v>0</v>
      </c>
      <c r="AB527" s="26">
        <v>0</v>
      </c>
      <c r="AC527" s="26">
        <v>5006928.9614249235</v>
      </c>
      <c r="AD527" s="26">
        <v>0</v>
      </c>
      <c r="AE527" s="26">
        <v>0</v>
      </c>
      <c r="AF527" s="26"/>
      <c r="AG527" s="26">
        <v>0</v>
      </c>
      <c r="AH527" s="26">
        <v>0</v>
      </c>
      <c r="AI527" s="26">
        <v>0</v>
      </c>
      <c r="AJ527" s="26">
        <v>0</v>
      </c>
      <c r="AK527" s="26">
        <v>43172023.590383455</v>
      </c>
      <c r="AL527" s="26">
        <v>0</v>
      </c>
      <c r="AM527" s="26">
        <v>5531744.793847709</v>
      </c>
      <c r="AN527" s="31">
        <v>553174.47938477097</v>
      </c>
      <c r="AO527" s="32">
        <v>1053576.1134362346</v>
      </c>
      <c r="AP527" s="77">
        <f>+N527-'Приложение №2'!E527</f>
        <v>0</v>
      </c>
      <c r="AQ527" s="28">
        <f>3256134.06-R44</f>
        <v>-511728.9700000002</v>
      </c>
      <c r="AR527" s="1">
        <f>+(K527*10+L527*20)*12*0.85</f>
        <v>673546.79999999993</v>
      </c>
      <c r="AS527" s="1">
        <f>+(K527*10+L527*20)*12*30-S44</f>
        <v>18498578.882955384</v>
      </c>
      <c r="AT527" s="28">
        <f t="shared" si="171"/>
        <v>-15324268.005402204</v>
      </c>
      <c r="AU527" s="28">
        <f>+P527-'[6]Приложение №1'!$P499</f>
        <v>0</v>
      </c>
      <c r="AV527" s="28">
        <f>+Q527-'[6]Приложение №1'!$Q499</f>
        <v>0</v>
      </c>
      <c r="AW527" s="28">
        <f>+R527-'[6]Приложение №1'!$R499</f>
        <v>0</v>
      </c>
      <c r="AX527" s="28">
        <f>+S527-'[6]Приложение №1'!$S499</f>
        <v>0</v>
      </c>
      <c r="AY527" s="28">
        <f>+T527-'[6]Приложение №1'!$T499</f>
        <v>0</v>
      </c>
    </row>
    <row r="528" spans="1:51" x14ac:dyDescent="0.25">
      <c r="A528" s="139">
        <f t="shared" si="178"/>
        <v>509</v>
      </c>
      <c r="B528" s="140">
        <f t="shared" si="179"/>
        <v>47</v>
      </c>
      <c r="C528" s="120" t="s">
        <v>82</v>
      </c>
      <c r="D528" s="120" t="s">
        <v>344</v>
      </c>
      <c r="E528" s="121">
        <v>1994</v>
      </c>
      <c r="F528" s="121">
        <v>2005</v>
      </c>
      <c r="G528" s="121" t="s">
        <v>83</v>
      </c>
      <c r="H528" s="121">
        <v>10</v>
      </c>
      <c r="I528" s="121">
        <v>1</v>
      </c>
      <c r="J528" s="107">
        <v>3221.8</v>
      </c>
      <c r="K528" s="107">
        <v>2772.9</v>
      </c>
      <c r="L528" s="107">
        <v>0</v>
      </c>
      <c r="M528" s="122">
        <v>100</v>
      </c>
      <c r="N528" s="123">
        <f t="shared" si="185"/>
        <v>3591360</v>
      </c>
      <c r="O528" s="107"/>
      <c r="P528" s="108">
        <f>+'Приложение №2'!E528-'Приложение №1'!R528</f>
        <v>1908022.4918</v>
      </c>
      <c r="Q528" s="108"/>
      <c r="R528" s="108">
        <v>1683337.5082</v>
      </c>
      <c r="S528" s="108">
        <f>+AS528</f>
        <v>0</v>
      </c>
      <c r="T528" s="108">
        <f>+'Приложение №2'!E528-'Приложение №1'!R528-P528</f>
        <v>0</v>
      </c>
      <c r="U528" s="108">
        <f t="shared" si="186"/>
        <v>1295.1639078221356</v>
      </c>
      <c r="V528" s="108">
        <v>1215.2830200640001</v>
      </c>
      <c r="W528" s="135">
        <v>2024</v>
      </c>
      <c r="X528" s="28" t="e">
        <f>+#REF!-'[1]Приложение №1'!$P187</f>
        <v>#REF!</v>
      </c>
      <c r="Z528" s="30">
        <f t="shared" si="189"/>
        <v>12312273.314337611</v>
      </c>
      <c r="AA528" s="26">
        <v>6644426.5309337154</v>
      </c>
      <c r="AB528" s="26">
        <v>2658404.3195578591</v>
      </c>
      <c r="AC528" s="26">
        <v>0</v>
      </c>
      <c r="AD528" s="26">
        <v>1254761.2968176242</v>
      </c>
      <c r="AE528" s="26">
        <v>0</v>
      </c>
      <c r="AF528" s="26"/>
      <c r="AG528" s="26">
        <v>295202.59689429664</v>
      </c>
      <c r="AH528" s="26">
        <v>0</v>
      </c>
      <c r="AI528" s="26">
        <v>0</v>
      </c>
      <c r="AJ528" s="26">
        <v>0</v>
      </c>
      <c r="AK528" s="26">
        <v>0</v>
      </c>
      <c r="AL528" s="26">
        <v>0</v>
      </c>
      <c r="AM528" s="26">
        <v>1099027.196559557</v>
      </c>
      <c r="AN528" s="31">
        <v>123122.73314337611</v>
      </c>
      <c r="AO528" s="32">
        <v>237328.64043118211</v>
      </c>
      <c r="AP528" s="77">
        <f>+N528-'Приложение №2'!E528</f>
        <v>0</v>
      </c>
      <c r="AR528" s="1">
        <f>+(K528*13.29+L528*22.52)*12*0.85</f>
        <v>375888.7782</v>
      </c>
      <c r="AT528" s="28">
        <f t="shared" si="171"/>
        <v>0</v>
      </c>
      <c r="AU528" s="28">
        <f>+P528-'[6]Приложение №1'!$P500</f>
        <v>0</v>
      </c>
      <c r="AV528" s="28">
        <f>+Q528-'[6]Приложение №1'!$Q500</f>
        <v>0</v>
      </c>
      <c r="AW528" s="28">
        <f>+R528-'[6]Приложение №1'!$R500</f>
        <v>0</v>
      </c>
      <c r="AX528" s="28">
        <f>+S528-'[6]Приложение №1'!$S500</f>
        <v>0</v>
      </c>
      <c r="AY528" s="28">
        <f>+T528-'[6]Приложение №1'!$T500</f>
        <v>0</v>
      </c>
    </row>
    <row r="529" spans="1:51" x14ac:dyDescent="0.25">
      <c r="A529" s="139">
        <f t="shared" si="178"/>
        <v>510</v>
      </c>
      <c r="B529" s="140">
        <f t="shared" si="179"/>
        <v>48</v>
      </c>
      <c r="C529" s="120" t="s">
        <v>81</v>
      </c>
      <c r="D529" s="120" t="s">
        <v>345</v>
      </c>
      <c r="E529" s="121">
        <v>1985</v>
      </c>
      <c r="F529" s="121">
        <v>2009</v>
      </c>
      <c r="G529" s="121" t="s">
        <v>83</v>
      </c>
      <c r="H529" s="121">
        <v>5</v>
      </c>
      <c r="I529" s="121">
        <v>4</v>
      </c>
      <c r="J529" s="107">
        <v>5739.1</v>
      </c>
      <c r="K529" s="107">
        <v>4751.1000000000004</v>
      </c>
      <c r="L529" s="107">
        <v>96</v>
      </c>
      <c r="M529" s="122">
        <v>191</v>
      </c>
      <c r="N529" s="123">
        <f t="shared" si="185"/>
        <v>3723951.8689671173</v>
      </c>
      <c r="O529" s="107"/>
      <c r="P529" s="108"/>
      <c r="Q529" s="108"/>
      <c r="R529" s="108">
        <f>+AQ529+AR529</f>
        <v>2103716.6800000002</v>
      </c>
      <c r="S529" s="108">
        <f>+'Приложение №2'!E529-'Приложение №1'!R529</f>
        <v>1620235.1889671171</v>
      </c>
      <c r="T529" s="108">
        <v>0</v>
      </c>
      <c r="U529" s="108">
        <f t="shared" si="186"/>
        <v>783.80835363749804</v>
      </c>
      <c r="V529" s="108">
        <v>1216.2830200640001</v>
      </c>
      <c r="W529" s="135">
        <v>2024</v>
      </c>
      <c r="X529" s="28">
        <f>+S529-'[1]Приложение №1'!$P579</f>
        <v>-2563980.3941420033</v>
      </c>
      <c r="Z529" s="30">
        <f t="shared" si="189"/>
        <v>4184215.5831091204</v>
      </c>
      <c r="AA529" s="26">
        <v>0</v>
      </c>
      <c r="AB529" s="26">
        <v>0</v>
      </c>
      <c r="AC529" s="26">
        <v>3644259.2989712209</v>
      </c>
      <c r="AD529" s="26">
        <v>0</v>
      </c>
      <c r="AE529" s="26">
        <v>0</v>
      </c>
      <c r="AF529" s="26"/>
      <c r="AG529" s="26">
        <v>0</v>
      </c>
      <c r="AH529" s="26">
        <v>0</v>
      </c>
      <c r="AI529" s="26">
        <v>0</v>
      </c>
      <c r="AJ529" s="26">
        <v>0</v>
      </c>
      <c r="AK529" s="26">
        <v>0</v>
      </c>
      <c r="AL529" s="26">
        <v>0</v>
      </c>
      <c r="AM529" s="26">
        <v>418421.55831091205</v>
      </c>
      <c r="AN529" s="31">
        <v>41842.155831091208</v>
      </c>
      <c r="AO529" s="32">
        <v>79692.569995896309</v>
      </c>
      <c r="AP529" s="77">
        <f>+N529-'Приложение №2'!E529</f>
        <v>0</v>
      </c>
      <c r="AQ529" s="1">
        <f>2310305.52-710785.04</f>
        <v>1599520.48</v>
      </c>
      <c r="AR529" s="1">
        <f>+(K529*10+L529*20)*12*0.85</f>
        <v>504196.2</v>
      </c>
      <c r="AS529" s="1">
        <f>+(K529*10+L529*20)*12*30-979982.96</f>
        <v>16815177.039999999</v>
      </c>
      <c r="AT529" s="28">
        <f t="shared" si="171"/>
        <v>-15194941.851032883</v>
      </c>
      <c r="AU529" s="28">
        <f>+P529-'[6]Приложение №1'!$P501</f>
        <v>0</v>
      </c>
      <c r="AV529" s="28">
        <f>+Q529-'[6]Приложение №1'!$Q501</f>
        <v>0</v>
      </c>
      <c r="AW529" s="28">
        <f>+R529-'[6]Приложение №1'!$R501</f>
        <v>0</v>
      </c>
      <c r="AX529" s="28">
        <f>+S529-'[6]Приложение №1'!$S501</f>
        <v>0</v>
      </c>
      <c r="AY529" s="28">
        <f>+T529-'[6]Приложение №1'!$T501</f>
        <v>0</v>
      </c>
    </row>
    <row r="530" spans="1:51" x14ac:dyDescent="0.25">
      <c r="A530" s="139">
        <f t="shared" si="178"/>
        <v>511</v>
      </c>
      <c r="B530" s="140">
        <f t="shared" si="179"/>
        <v>49</v>
      </c>
      <c r="C530" s="120" t="s">
        <v>81</v>
      </c>
      <c r="D530" s="120" t="s">
        <v>346</v>
      </c>
      <c r="E530" s="121">
        <v>1986</v>
      </c>
      <c r="F530" s="121">
        <v>2016</v>
      </c>
      <c r="G530" s="121" t="s">
        <v>83</v>
      </c>
      <c r="H530" s="121">
        <v>5</v>
      </c>
      <c r="I530" s="121">
        <v>3</v>
      </c>
      <c r="J530" s="107">
        <v>4418.7</v>
      </c>
      <c r="K530" s="107">
        <v>3551.6</v>
      </c>
      <c r="L530" s="107">
        <v>167.4</v>
      </c>
      <c r="M530" s="122">
        <v>164</v>
      </c>
      <c r="N530" s="123">
        <f t="shared" si="185"/>
        <v>5704539.4663399998</v>
      </c>
      <c r="O530" s="107"/>
      <c r="P530" s="108"/>
      <c r="Q530" s="108"/>
      <c r="R530" s="108">
        <f>+AQ530+AR530</f>
        <v>2110631.09</v>
      </c>
      <c r="S530" s="108">
        <f>+'Приложение №2'!E530-'Приложение №1'!R530</f>
        <v>3593908.37634</v>
      </c>
      <c r="T530" s="108">
        <v>0</v>
      </c>
      <c r="U530" s="108">
        <f t="shared" si="186"/>
        <v>1606.1886097364568</v>
      </c>
      <c r="V530" s="108">
        <v>1217.2830200640001</v>
      </c>
      <c r="W530" s="135">
        <v>2024</v>
      </c>
      <c r="X530" s="28" t="e">
        <f>+#REF!-'[1]Приложение №1'!$P580</f>
        <v>#REF!</v>
      </c>
      <c r="Z530" s="30">
        <f t="shared" si="189"/>
        <v>6409594.9059999995</v>
      </c>
      <c r="AA530" s="26">
        <v>0</v>
      </c>
      <c r="AB530" s="26">
        <v>0</v>
      </c>
      <c r="AC530" s="26">
        <v>0</v>
      </c>
      <c r="AD530" s="26">
        <v>0</v>
      </c>
      <c r="AE530" s="26">
        <v>0</v>
      </c>
      <c r="AF530" s="26"/>
      <c r="AG530" s="26">
        <v>0</v>
      </c>
      <c r="AH530" s="26">
        <v>0</v>
      </c>
      <c r="AI530" s="26">
        <v>0</v>
      </c>
      <c r="AJ530" s="26">
        <v>5582462.3217603238</v>
      </c>
      <c r="AK530" s="26">
        <v>0</v>
      </c>
      <c r="AL530" s="26">
        <v>0</v>
      </c>
      <c r="AM530" s="26">
        <v>640959.49060000002</v>
      </c>
      <c r="AN530" s="31">
        <v>64095.949059999999</v>
      </c>
      <c r="AO530" s="32">
        <v>122077.14457967599</v>
      </c>
      <c r="AP530" s="77">
        <f>+N530-'Приложение №2'!E530</f>
        <v>0</v>
      </c>
      <c r="AQ530" s="1">
        <v>1714218.29</v>
      </c>
      <c r="AR530" s="1">
        <f>+(K530*10+L530*20)*12*0.85</f>
        <v>396412.8</v>
      </c>
      <c r="AS530" s="1">
        <f>+(K530*10+L530*20)*12*30</f>
        <v>13991040</v>
      </c>
      <c r="AT530" s="28">
        <f t="shared" si="171"/>
        <v>-10397131.62366</v>
      </c>
      <c r="AU530" s="28">
        <f>+P530-'[6]Приложение №1'!$P502</f>
        <v>0</v>
      </c>
      <c r="AV530" s="28">
        <f>+Q530-'[6]Приложение №1'!$Q502</f>
        <v>0</v>
      </c>
      <c r="AW530" s="28">
        <f>+R530-'[6]Приложение №1'!$R502</f>
        <v>0</v>
      </c>
      <c r="AX530" s="28">
        <f>+S530-'[6]Приложение №1'!$S502</f>
        <v>0</v>
      </c>
      <c r="AY530" s="28">
        <f>+T530-'[6]Приложение №1'!$T502</f>
        <v>0</v>
      </c>
    </row>
    <row r="531" spans="1:51" x14ac:dyDescent="0.25">
      <c r="A531" s="139">
        <f t="shared" si="178"/>
        <v>512</v>
      </c>
      <c r="B531" s="140">
        <f t="shared" si="179"/>
        <v>50</v>
      </c>
      <c r="C531" s="120" t="s">
        <v>81</v>
      </c>
      <c r="D531" s="120" t="s">
        <v>347</v>
      </c>
      <c r="E531" s="121">
        <v>1985</v>
      </c>
      <c r="F531" s="121">
        <v>2015</v>
      </c>
      <c r="G531" s="121" t="s">
        <v>43</v>
      </c>
      <c r="H531" s="121">
        <v>5</v>
      </c>
      <c r="I531" s="121">
        <v>3</v>
      </c>
      <c r="J531" s="107">
        <v>6741.3</v>
      </c>
      <c r="K531" s="107">
        <v>3901.9</v>
      </c>
      <c r="L531" s="107">
        <v>698.1</v>
      </c>
      <c r="M531" s="122">
        <v>305</v>
      </c>
      <c r="N531" s="123">
        <f t="shared" si="185"/>
        <v>7558612.3204800002</v>
      </c>
      <c r="O531" s="107"/>
      <c r="P531" s="108"/>
      <c r="Q531" s="108"/>
      <c r="R531" s="108">
        <f>+AQ531+AR531</f>
        <v>2116179.3499999996</v>
      </c>
      <c r="S531" s="108">
        <f>+'Приложение №2'!E531-'Приложение №1'!R531</f>
        <v>5442432.9704800006</v>
      </c>
      <c r="T531" s="108">
        <v>4.6566128730773926E-10</v>
      </c>
      <c r="U531" s="108">
        <f t="shared" si="186"/>
        <v>1937.1619776211589</v>
      </c>
      <c r="V531" s="108">
        <v>1218.2830200640001</v>
      </c>
      <c r="W531" s="135">
        <v>2024</v>
      </c>
      <c r="X531" s="28" t="e">
        <f>+#REF!-'[1]Приложение №1'!$P583</f>
        <v>#REF!</v>
      </c>
      <c r="Z531" s="30">
        <f t="shared" si="189"/>
        <v>8492822.8320000004</v>
      </c>
      <c r="AA531" s="26">
        <v>0</v>
      </c>
      <c r="AB531" s="26">
        <v>0</v>
      </c>
      <c r="AC531" s="26">
        <v>0</v>
      </c>
      <c r="AD531" s="26">
        <v>0</v>
      </c>
      <c r="AE531" s="26">
        <v>0</v>
      </c>
      <c r="AF531" s="26"/>
      <c r="AG531" s="26">
        <v>0</v>
      </c>
      <c r="AH531" s="26">
        <v>0</v>
      </c>
      <c r="AI531" s="26">
        <v>0</v>
      </c>
      <c r="AJ531" s="26">
        <v>7396858.0168217281</v>
      </c>
      <c r="AK531" s="26">
        <v>0</v>
      </c>
      <c r="AL531" s="26">
        <v>0</v>
      </c>
      <c r="AM531" s="26">
        <v>849282.28320000006</v>
      </c>
      <c r="AN531" s="31">
        <v>84928.228320000009</v>
      </c>
      <c r="AO531" s="32">
        <v>161754.30365827202</v>
      </c>
      <c r="AP531" s="77">
        <f>+N531-'Приложение №2'!E531</f>
        <v>0</v>
      </c>
      <c r="AQ531" s="1">
        <f>2328144.32-752371.17</f>
        <v>1575773.15</v>
      </c>
      <c r="AR531" s="1">
        <f>+(K531*10+L531*20)*12*0.85</f>
        <v>540406.19999999995</v>
      </c>
      <c r="AS531" s="1">
        <f>+(K531*10+L531*20)*12*30-895524.57</f>
        <v>18177635.43</v>
      </c>
      <c r="AT531" s="28">
        <f t="shared" si="171"/>
        <v>-12735202.459519999</v>
      </c>
      <c r="AU531" s="28">
        <f>+P531-'[6]Приложение №1'!$P503</f>
        <v>0</v>
      </c>
      <c r="AV531" s="28">
        <f>+Q531-'[6]Приложение №1'!$Q503</f>
        <v>0</v>
      </c>
      <c r="AW531" s="28">
        <f>+R531-'[6]Приложение №1'!$R503</f>
        <v>0</v>
      </c>
      <c r="AX531" s="28">
        <f>+S531-'[6]Приложение №1'!$S503</f>
        <v>0</v>
      </c>
      <c r="AY531" s="28">
        <f>+T531-'[6]Приложение №1'!$T503</f>
        <v>0</v>
      </c>
    </row>
    <row r="532" spans="1:51" x14ac:dyDescent="0.25">
      <c r="A532" s="139">
        <f t="shared" si="178"/>
        <v>513</v>
      </c>
      <c r="B532" s="140">
        <f t="shared" si="179"/>
        <v>51</v>
      </c>
      <c r="C532" s="120" t="s">
        <v>81</v>
      </c>
      <c r="D532" s="120" t="s">
        <v>348</v>
      </c>
      <c r="E532" s="121">
        <v>1996</v>
      </c>
      <c r="F532" s="121">
        <v>1996</v>
      </c>
      <c r="G532" s="121" t="s">
        <v>43</v>
      </c>
      <c r="H532" s="121">
        <v>3</v>
      </c>
      <c r="I532" s="121">
        <v>3</v>
      </c>
      <c r="J532" s="107">
        <v>2048.3000000000002</v>
      </c>
      <c r="K532" s="107">
        <v>1683.6</v>
      </c>
      <c r="L532" s="107">
        <v>86.8</v>
      </c>
      <c r="M532" s="122">
        <v>51</v>
      </c>
      <c r="N532" s="123">
        <f t="shared" si="185"/>
        <v>10973716.392657893</v>
      </c>
      <c r="O532" s="107"/>
      <c r="P532" s="108">
        <v>1188980.4111846876</v>
      </c>
      <c r="Q532" s="108"/>
      <c r="R532" s="108">
        <f>+AQ532+AR532</f>
        <v>995642.04</v>
      </c>
      <c r="S532" s="108">
        <f>+AS532</f>
        <v>6685920</v>
      </c>
      <c r="T532" s="108">
        <f>+'Приложение №2'!E532-'Приложение №1'!P532-'Приложение №1'!R532-'Приложение №1'!S532</f>
        <v>2103173.9414732046</v>
      </c>
      <c r="U532" s="108">
        <f t="shared" si="186"/>
        <v>6518.0068856366679</v>
      </c>
      <c r="V532" s="108">
        <v>1219.2830200640001</v>
      </c>
      <c r="W532" s="135">
        <v>2024</v>
      </c>
      <c r="X532" s="28" t="e">
        <f>+#REF!-'[1]Приложение №1'!$P588</f>
        <v>#REF!</v>
      </c>
      <c r="Z532" s="30">
        <f t="shared" si="189"/>
        <v>33805835.966304243</v>
      </c>
      <c r="AA532" s="26">
        <v>6700361.0893385699</v>
      </c>
      <c r="AB532" s="26">
        <v>3490874.7316903411</v>
      </c>
      <c r="AC532" s="26">
        <v>1444478.386687834</v>
      </c>
      <c r="AD532" s="26">
        <v>0</v>
      </c>
      <c r="AE532" s="26">
        <v>0</v>
      </c>
      <c r="AF532" s="26"/>
      <c r="AG532" s="26">
        <v>547643.04082610249</v>
      </c>
      <c r="AH532" s="26">
        <v>0</v>
      </c>
      <c r="AI532" s="26">
        <v>0</v>
      </c>
      <c r="AJ532" s="26">
        <v>0</v>
      </c>
      <c r="AK532" s="26">
        <v>17457525.241583157</v>
      </c>
      <c r="AL532" s="26">
        <v>0</v>
      </c>
      <c r="AM532" s="26">
        <v>3178709.049390018</v>
      </c>
      <c r="AN532" s="31">
        <v>338058.35966304236</v>
      </c>
      <c r="AO532" s="32">
        <v>648186.06712517515</v>
      </c>
      <c r="AP532" s="77">
        <f>+N532-'Приложение №2'!E532</f>
        <v>0</v>
      </c>
      <c r="AQ532" s="1">
        <v>806207.64</v>
      </c>
      <c r="AR532" s="1">
        <f>+(K532*10+L532*20)*12*0.85</f>
        <v>189434.4</v>
      </c>
      <c r="AS532" s="1">
        <f>+(K532*10+L532*20)*12*30</f>
        <v>6685920</v>
      </c>
      <c r="AT532" s="28">
        <f t="shared" si="171"/>
        <v>0</v>
      </c>
      <c r="AU532" s="28">
        <f>+P532-'[6]Приложение №1'!$P504</f>
        <v>0</v>
      </c>
      <c r="AV532" s="28">
        <f>+Q532-'[6]Приложение №1'!$Q504</f>
        <v>0</v>
      </c>
      <c r="AW532" s="28">
        <f>+R532-'[6]Приложение №1'!$R504</f>
        <v>0</v>
      </c>
      <c r="AX532" s="28">
        <f>+S532-'[6]Приложение №1'!$S504</f>
        <v>0</v>
      </c>
      <c r="AY532" s="28">
        <f>+T532-'[6]Приложение №1'!$T504</f>
        <v>0</v>
      </c>
    </row>
    <row r="533" spans="1:51" x14ac:dyDescent="0.25">
      <c r="A533" s="139">
        <f t="shared" si="178"/>
        <v>514</v>
      </c>
      <c r="B533" s="140">
        <f t="shared" si="179"/>
        <v>52</v>
      </c>
      <c r="C533" s="120" t="s">
        <v>81</v>
      </c>
      <c r="D533" s="120" t="s">
        <v>349</v>
      </c>
      <c r="E533" s="121">
        <v>1986</v>
      </c>
      <c r="F533" s="121">
        <v>2016</v>
      </c>
      <c r="G533" s="121" t="s">
        <v>83</v>
      </c>
      <c r="H533" s="121">
        <v>5</v>
      </c>
      <c r="I533" s="121">
        <v>4</v>
      </c>
      <c r="J533" s="107">
        <v>3396.9</v>
      </c>
      <c r="K533" s="107">
        <v>3059.2</v>
      </c>
      <c r="L533" s="107">
        <v>0</v>
      </c>
      <c r="M533" s="122">
        <v>122</v>
      </c>
      <c r="N533" s="123">
        <f t="shared" si="185"/>
        <v>11276107.02613402</v>
      </c>
      <c r="O533" s="107"/>
      <c r="P533" s="108"/>
      <c r="Q533" s="108"/>
      <c r="R533" s="108">
        <f>+AQ533+AR533</f>
        <v>1808425.52</v>
      </c>
      <c r="S533" s="108">
        <f>+'Приложение №2'!E533-'Приложение №1'!R533</f>
        <v>9467681.5061340202</v>
      </c>
      <c r="T533" s="108">
        <v>2.3283064365386963E-10</v>
      </c>
      <c r="U533" s="108">
        <f t="shared" si="186"/>
        <v>3685.9659473502943</v>
      </c>
      <c r="V533" s="108">
        <v>1220.2830200640001</v>
      </c>
      <c r="W533" s="135">
        <v>2024</v>
      </c>
      <c r="X533" s="28" t="e">
        <f>+#REF!-'[1]Приложение №1'!$P589</f>
        <v>#REF!</v>
      </c>
      <c r="Z533" s="30">
        <f t="shared" si="189"/>
        <v>12428415.848861372</v>
      </c>
      <c r="AA533" s="26">
        <v>6061746.8582748314</v>
      </c>
      <c r="AB533" s="26">
        <v>2605155.66</v>
      </c>
      <c r="AC533" s="26">
        <v>2187734.91</v>
      </c>
      <c r="AD533" s="26">
        <v>0</v>
      </c>
      <c r="AE533" s="26">
        <v>0</v>
      </c>
      <c r="AF533" s="26"/>
      <c r="AG533" s="26">
        <v>251675.45410878723</v>
      </c>
      <c r="AH533" s="26">
        <v>0</v>
      </c>
      <c r="AI533" s="26">
        <v>0</v>
      </c>
      <c r="AJ533" s="26">
        <v>0</v>
      </c>
      <c r="AK533" s="26">
        <v>0</v>
      </c>
      <c r="AL533" s="26">
        <v>0</v>
      </c>
      <c r="AM533" s="26">
        <v>1074948.6007849383</v>
      </c>
      <c r="AN533" s="31">
        <v>77360.2219424137</v>
      </c>
      <c r="AO533" s="32">
        <v>169794.14375039996</v>
      </c>
      <c r="AP533" s="77">
        <f>+N533-'Приложение №2'!E533</f>
        <v>0</v>
      </c>
      <c r="AQ533" s="1">
        <v>1496387.12</v>
      </c>
      <c r="AR533" s="1">
        <f>+(K533*10+L533*20)*12*0.85</f>
        <v>312038.39999999997</v>
      </c>
      <c r="AS533" s="1">
        <f>+(K533*10+L533*20)*12*30</f>
        <v>11013120</v>
      </c>
      <c r="AT533" s="28">
        <f t="shared" si="171"/>
        <v>-1545438.4938659798</v>
      </c>
      <c r="AU533" s="28">
        <f>+P533-'[6]Приложение №1'!$P505</f>
        <v>0</v>
      </c>
      <c r="AV533" s="28">
        <f>+Q533-'[6]Приложение №1'!$Q505</f>
        <v>0</v>
      </c>
      <c r="AW533" s="28">
        <f>+R533-'[6]Приложение №1'!$R505</f>
        <v>0</v>
      </c>
      <c r="AX533" s="28">
        <f>+S533-'[6]Приложение №1'!$S505</f>
        <v>0</v>
      </c>
      <c r="AY533" s="28">
        <f>+T533-'[6]Приложение №1'!$T505</f>
        <v>0</v>
      </c>
    </row>
    <row r="534" spans="1:51" x14ac:dyDescent="0.25">
      <c r="A534" s="139">
        <f t="shared" si="178"/>
        <v>515</v>
      </c>
      <c r="B534" s="140">
        <f t="shared" si="179"/>
        <v>53</v>
      </c>
      <c r="C534" s="120" t="s">
        <v>82</v>
      </c>
      <c r="D534" s="120" t="s">
        <v>350</v>
      </c>
      <c r="E534" s="121" t="s">
        <v>115</v>
      </c>
      <c r="F534" s="121"/>
      <c r="G534" s="121" t="s">
        <v>83</v>
      </c>
      <c r="H534" s="121" t="s">
        <v>94</v>
      </c>
      <c r="I534" s="121" t="s">
        <v>101</v>
      </c>
      <c r="J534" s="107">
        <v>11653.5</v>
      </c>
      <c r="K534" s="107">
        <v>8349.17</v>
      </c>
      <c r="L534" s="107">
        <v>926.4</v>
      </c>
      <c r="M534" s="122">
        <v>357</v>
      </c>
      <c r="N534" s="123">
        <f t="shared" si="185"/>
        <v>14365440</v>
      </c>
      <c r="O534" s="107"/>
      <c r="P534" s="108">
        <f>14365440-7445493.48</f>
        <v>6919946.5199999996</v>
      </c>
      <c r="Q534" s="108"/>
      <c r="R534" s="108">
        <v>7445493.4800000004</v>
      </c>
      <c r="S534" s="108"/>
      <c r="T534" s="108"/>
      <c r="U534" s="108"/>
      <c r="V534" s="108"/>
      <c r="W534" s="135">
        <v>2024</v>
      </c>
      <c r="X534" s="28"/>
      <c r="Z534" s="30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31"/>
      <c r="AO534" s="32"/>
      <c r="AP534" s="77">
        <f>+N534-'Приложение №2'!E534</f>
        <v>0</v>
      </c>
      <c r="AT534" s="28">
        <f t="shared" si="171"/>
        <v>0</v>
      </c>
      <c r="AU534" s="28"/>
      <c r="AV534" s="28"/>
      <c r="AW534" s="28"/>
      <c r="AX534" s="28"/>
      <c r="AY534" s="28"/>
    </row>
    <row r="535" spans="1:51" x14ac:dyDescent="0.25">
      <c r="A535" s="139">
        <f t="shared" si="178"/>
        <v>516</v>
      </c>
      <c r="B535" s="140">
        <f t="shared" si="179"/>
        <v>54</v>
      </c>
      <c r="C535" s="120" t="s">
        <v>81</v>
      </c>
      <c r="D535" s="120" t="s">
        <v>351</v>
      </c>
      <c r="E535" s="121">
        <v>1980</v>
      </c>
      <c r="F535" s="121">
        <v>2012</v>
      </c>
      <c r="G535" s="121" t="s">
        <v>43</v>
      </c>
      <c r="H535" s="121">
        <v>4</v>
      </c>
      <c r="I535" s="121">
        <v>3</v>
      </c>
      <c r="J535" s="107">
        <v>5123.6000000000004</v>
      </c>
      <c r="K535" s="107">
        <v>3336.1</v>
      </c>
      <c r="L535" s="107">
        <v>937.6</v>
      </c>
      <c r="M535" s="122">
        <v>153</v>
      </c>
      <c r="N535" s="123">
        <f t="shared" ref="N535:N557" si="190">SUM(O535:T535)</f>
        <v>9583229.2646912001</v>
      </c>
      <c r="O535" s="107"/>
      <c r="P535" s="108"/>
      <c r="Q535" s="108"/>
      <c r="R535" s="108">
        <f t="shared" ref="R535:R556" si="191">+AQ535+AR535</f>
        <v>2863173.66</v>
      </c>
      <c r="S535" s="108">
        <f>+'Приложение №2'!E535-'Приложение №1'!R535</f>
        <v>6720055.6046912</v>
      </c>
      <c r="T535" s="108">
        <v>0</v>
      </c>
      <c r="U535" s="108">
        <f t="shared" ref="U535:U599" si="192">N535/K535</f>
        <v>2872.5845342439375</v>
      </c>
      <c r="V535" s="108">
        <v>1221.2830200640001</v>
      </c>
      <c r="W535" s="135">
        <v>2024</v>
      </c>
      <c r="X535" s="28" t="e">
        <f>+#REF!-'[1]Приложение №1'!$P594</f>
        <v>#REF!</v>
      </c>
      <c r="Z535" s="30">
        <f>SUM(AA535:AO535)</f>
        <v>9768437.6600000001</v>
      </c>
      <c r="AA535" s="26">
        <v>0</v>
      </c>
      <c r="AB535" s="26">
        <v>0</v>
      </c>
      <c r="AC535" s="26">
        <v>0</v>
      </c>
      <c r="AD535" s="26">
        <v>0</v>
      </c>
      <c r="AE535" s="26">
        <v>0</v>
      </c>
      <c r="AF535" s="26"/>
      <c r="AG535" s="26">
        <v>0</v>
      </c>
      <c r="AH535" s="26">
        <v>0</v>
      </c>
      <c r="AI535" s="26">
        <v>0</v>
      </c>
      <c r="AJ535" s="26">
        <v>0</v>
      </c>
      <c r="AK535" s="26">
        <v>9403121.0399999991</v>
      </c>
      <c r="AL535" s="26">
        <v>0</v>
      </c>
      <c r="AM535" s="26">
        <v>264024.74</v>
      </c>
      <c r="AN535" s="31">
        <v>20000</v>
      </c>
      <c r="AO535" s="32">
        <v>81291.88</v>
      </c>
      <c r="AP535" s="77">
        <f>+N535-'Приложение №2'!E535</f>
        <v>0</v>
      </c>
      <c r="AQ535" s="1">
        <v>2331621.06</v>
      </c>
      <c r="AR535" s="1">
        <f>+(K535*10+L535*20)*12*0.85</f>
        <v>531552.6</v>
      </c>
      <c r="AS535" s="1">
        <f>+(K535*10+L535*20)*12*30</f>
        <v>18760680</v>
      </c>
      <c r="AT535" s="28">
        <f t="shared" si="171"/>
        <v>-12040624.3953088</v>
      </c>
      <c r="AU535" s="28">
        <f>+P535-'[6]Приложение №1'!$P506</f>
        <v>0</v>
      </c>
      <c r="AV535" s="28">
        <f>+Q535-'[6]Приложение №1'!$Q506</f>
        <v>0</v>
      </c>
      <c r="AW535" s="28">
        <f>+R535-'[6]Приложение №1'!$R506</f>
        <v>0</v>
      </c>
      <c r="AX535" s="28">
        <f>+S535-'[6]Приложение №1'!$S506</f>
        <v>0</v>
      </c>
      <c r="AY535" s="28">
        <f>+T535-'[6]Приложение №1'!$T506</f>
        <v>0</v>
      </c>
    </row>
    <row r="536" spans="1:51" x14ac:dyDescent="0.25">
      <c r="A536" s="139">
        <f t="shared" si="178"/>
        <v>517</v>
      </c>
      <c r="B536" s="140">
        <f t="shared" si="179"/>
        <v>55</v>
      </c>
      <c r="C536" s="120" t="s">
        <v>81</v>
      </c>
      <c r="D536" s="120" t="s">
        <v>352</v>
      </c>
      <c r="E536" s="121">
        <v>1979</v>
      </c>
      <c r="F536" s="121">
        <v>2015</v>
      </c>
      <c r="G536" s="121" t="s">
        <v>83</v>
      </c>
      <c r="H536" s="121">
        <v>5</v>
      </c>
      <c r="I536" s="121">
        <v>4</v>
      </c>
      <c r="J536" s="107">
        <v>4063.4</v>
      </c>
      <c r="K536" s="107">
        <v>3700.2</v>
      </c>
      <c r="L536" s="107">
        <v>117.2</v>
      </c>
      <c r="M536" s="122">
        <v>192</v>
      </c>
      <c r="N536" s="123">
        <f t="shared" si="190"/>
        <v>13972173.255062804</v>
      </c>
      <c r="O536" s="107"/>
      <c r="P536" s="108">
        <v>687023.047624161</v>
      </c>
      <c r="Q536" s="108"/>
      <c r="R536" s="108">
        <f t="shared" si="191"/>
        <v>1425904.3699999999</v>
      </c>
      <c r="S536" s="108">
        <f>+AS536</f>
        <v>9996505.4600000009</v>
      </c>
      <c r="T536" s="108">
        <f>+'Приложение №2'!E536-'Приложение №1'!P536-'Приложение №1'!R536-'Приложение №1'!S536</f>
        <v>1862740.3774386421</v>
      </c>
      <c r="U536" s="108">
        <f t="shared" si="192"/>
        <v>3776.0589306153192</v>
      </c>
      <c r="V536" s="108">
        <v>1222.2830200640001</v>
      </c>
      <c r="W536" s="135">
        <v>2024</v>
      </c>
      <c r="X536" s="28" t="e">
        <f>+#REF!-'[1]Приложение №1'!$P962</f>
        <v>#REF!</v>
      </c>
      <c r="Z536" s="30">
        <f>SUM(AA536:AO536)</f>
        <v>14237628.820496641</v>
      </c>
      <c r="AA536" s="26">
        <v>0</v>
      </c>
      <c r="AB536" s="26">
        <v>0</v>
      </c>
      <c r="AC536" s="26">
        <v>0</v>
      </c>
      <c r="AD536" s="26">
        <v>0</v>
      </c>
      <c r="AE536" s="26">
        <v>0</v>
      </c>
      <c r="AF536" s="26"/>
      <c r="AG536" s="26">
        <v>0</v>
      </c>
      <c r="AH536" s="26">
        <v>0</v>
      </c>
      <c r="AI536" s="26">
        <v>12539649.207364213</v>
      </c>
      <c r="AJ536" s="26">
        <v>0</v>
      </c>
      <c r="AK536" s="26">
        <v>0</v>
      </c>
      <c r="AL536" s="26">
        <v>0</v>
      </c>
      <c r="AM536" s="26">
        <v>1281386.5938446978</v>
      </c>
      <c r="AN536" s="31">
        <v>142376.28820496643</v>
      </c>
      <c r="AO536" s="32">
        <v>274216.73108276533</v>
      </c>
      <c r="AP536" s="77">
        <f>+N536-'Приложение №2'!E536</f>
        <v>0</v>
      </c>
      <c r="AQ536" s="1">
        <f>1892593.7-868018.53</f>
        <v>1024575.1699999999</v>
      </c>
      <c r="AR536" s="1">
        <f>+(K536*10+L536*20)*12*0.85</f>
        <v>401329.2</v>
      </c>
      <c r="AS536" s="1">
        <f>+(K536*10+L536*20)*12*30-4168054.54</f>
        <v>9996505.4600000009</v>
      </c>
      <c r="AT536" s="28">
        <f t="shared" si="171"/>
        <v>0</v>
      </c>
      <c r="AU536" s="28">
        <f>+P536-'[6]Приложение №1'!$P507</f>
        <v>0</v>
      </c>
      <c r="AV536" s="28">
        <f>+Q536-'[6]Приложение №1'!$Q507</f>
        <v>0</v>
      </c>
      <c r="AW536" s="28">
        <f>+R536-'[6]Приложение №1'!$R507</f>
        <v>0</v>
      </c>
      <c r="AX536" s="28">
        <f>+S536-'[6]Приложение №1'!$S507</f>
        <v>0</v>
      </c>
      <c r="AY536" s="28">
        <f>+T536-'[6]Приложение №1'!$T507</f>
        <v>1158307.3166158255</v>
      </c>
    </row>
    <row r="537" spans="1:51" x14ac:dyDescent="0.25">
      <c r="A537" s="139">
        <f t="shared" si="178"/>
        <v>518</v>
      </c>
      <c r="B537" s="140">
        <f t="shared" si="179"/>
        <v>56</v>
      </c>
      <c r="C537" s="120" t="s">
        <v>81</v>
      </c>
      <c r="D537" s="120" t="s">
        <v>198</v>
      </c>
      <c r="E537" s="121">
        <v>1983</v>
      </c>
      <c r="F537" s="121">
        <v>2015</v>
      </c>
      <c r="G537" s="121" t="s">
        <v>83</v>
      </c>
      <c r="H537" s="121">
        <v>5</v>
      </c>
      <c r="I537" s="121">
        <v>4</v>
      </c>
      <c r="J537" s="107">
        <v>4471.8999999999996</v>
      </c>
      <c r="K537" s="107">
        <v>3791</v>
      </c>
      <c r="L537" s="107">
        <v>256.8</v>
      </c>
      <c r="M537" s="122">
        <v>156</v>
      </c>
      <c r="N537" s="123">
        <f t="shared" si="190"/>
        <v>30321154.784761567</v>
      </c>
      <c r="O537" s="107"/>
      <c r="P537" s="108">
        <v>5162464.244825148</v>
      </c>
      <c r="Q537" s="108"/>
      <c r="R537" s="108">
        <f t="shared" si="191"/>
        <v>0</v>
      </c>
      <c r="S537" s="108">
        <f>+AS537</f>
        <v>6559427.6825673096</v>
      </c>
      <c r="T537" s="108">
        <f>+'Приложение №2'!E537-'Приложение №1'!P537-'Приложение №1'!R537-'Приложение №1'!S537</f>
        <v>18599262.85736911</v>
      </c>
      <c r="U537" s="108">
        <f t="shared" si="192"/>
        <v>7998.1943510318033</v>
      </c>
      <c r="V537" s="108">
        <v>1223.2830200640001</v>
      </c>
      <c r="W537" s="135">
        <v>2024</v>
      </c>
      <c r="X537" s="28" t="e">
        <f>+#REF!-'[1]Приложение №1'!$P369</f>
        <v>#REF!</v>
      </c>
      <c r="Z537" s="30">
        <f>SUM(AA537:AO537)</f>
        <v>30449371.414761566</v>
      </c>
      <c r="AA537" s="26">
        <v>0</v>
      </c>
      <c r="AB537" s="26">
        <v>0</v>
      </c>
      <c r="AC537" s="26">
        <v>0</v>
      </c>
      <c r="AD537" s="26">
        <v>0</v>
      </c>
      <c r="AE537" s="26">
        <v>0</v>
      </c>
      <c r="AF537" s="26"/>
      <c r="AG537" s="26">
        <v>0</v>
      </c>
      <c r="AH537" s="26">
        <v>0</v>
      </c>
      <c r="AI537" s="26">
        <v>0</v>
      </c>
      <c r="AJ537" s="26">
        <v>0</v>
      </c>
      <c r="AK537" s="26">
        <v>29741216.056796018</v>
      </c>
      <c r="AL537" s="26">
        <v>0</v>
      </c>
      <c r="AM537" s="26">
        <v>104216.63</v>
      </c>
      <c r="AN537" s="26">
        <v>24000</v>
      </c>
      <c r="AO537" s="32">
        <v>579938.72796554875</v>
      </c>
      <c r="AP537" s="77">
        <f>+N537-'Приложение №2'!E537</f>
        <v>0</v>
      </c>
      <c r="AQ537" s="28">
        <f>1796152.17-R262</f>
        <v>-439069.20000000019</v>
      </c>
      <c r="AR537" s="1">
        <f>+(K537*10+L537*20)*12*0.85</f>
        <v>439069.2</v>
      </c>
      <c r="AS537" s="1">
        <f>+(K537*10+L537*20)*12*30-S262</f>
        <v>6559427.6825673096</v>
      </c>
      <c r="AT537" s="28">
        <f t="shared" ref="AT537:AT601" si="193">+S537-AS537</f>
        <v>0</v>
      </c>
      <c r="AU537" s="28">
        <f>+P537-'[6]Приложение №1'!$P508</f>
        <v>0</v>
      </c>
      <c r="AV537" s="28">
        <f>+Q537-'[6]Приложение №1'!$Q508</f>
        <v>0</v>
      </c>
      <c r="AW537" s="28">
        <f>+R537-'[6]Приложение №1'!$R508</f>
        <v>0</v>
      </c>
      <c r="AX537" s="28">
        <f>+S537-'[6]Приложение №1'!$S508</f>
        <v>0</v>
      </c>
      <c r="AY537" s="28">
        <f>+T537-'[6]Приложение №1'!$T508</f>
        <v>0</v>
      </c>
    </row>
    <row r="538" spans="1:51" x14ac:dyDescent="0.25">
      <c r="A538" s="139">
        <f t="shared" si="178"/>
        <v>519</v>
      </c>
      <c r="B538" s="140">
        <f t="shared" si="179"/>
        <v>57</v>
      </c>
      <c r="C538" s="120" t="s">
        <v>81</v>
      </c>
      <c r="D538" s="120" t="s">
        <v>353</v>
      </c>
      <c r="E538" s="121">
        <v>1983</v>
      </c>
      <c r="F538" s="121">
        <v>2015</v>
      </c>
      <c r="G538" s="121" t="s">
        <v>83</v>
      </c>
      <c r="H538" s="121">
        <v>5</v>
      </c>
      <c r="I538" s="121">
        <v>4</v>
      </c>
      <c r="J538" s="107">
        <v>4470.7</v>
      </c>
      <c r="K538" s="107">
        <v>3912.6</v>
      </c>
      <c r="L538" s="107">
        <v>0</v>
      </c>
      <c r="M538" s="122">
        <v>167</v>
      </c>
      <c r="N538" s="123">
        <f t="shared" si="190"/>
        <v>18644724.211052157</v>
      </c>
      <c r="O538" s="107"/>
      <c r="P538" s="108">
        <f>+'Приложение №2'!E538-'Приложение №1'!R538-'Приложение №1'!S538</f>
        <v>2021287.1010521576</v>
      </c>
      <c r="Q538" s="108"/>
      <c r="R538" s="108">
        <f t="shared" si="191"/>
        <v>2538077.1100000003</v>
      </c>
      <c r="S538" s="108">
        <f>+AS538</f>
        <v>14085360</v>
      </c>
      <c r="T538" s="108"/>
      <c r="U538" s="108">
        <f t="shared" si="192"/>
        <v>4765.3029215999995</v>
      </c>
      <c r="V538" s="108">
        <v>1224.2830200640001</v>
      </c>
      <c r="W538" s="135">
        <v>2024</v>
      </c>
      <c r="X538" s="28"/>
      <c r="Z538" s="30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32"/>
      <c r="AP538" s="77">
        <f>+N538-'Приложение №2'!E538</f>
        <v>0</v>
      </c>
      <c r="AQ538" s="23">
        <v>2138991.91</v>
      </c>
      <c r="AR538" s="1">
        <f>+(K538*10+L538*20)*12*0.85</f>
        <v>399085.2</v>
      </c>
      <c r="AS538" s="1">
        <f>+(K538*10+L538*20)*12*30</f>
        <v>14085360</v>
      </c>
      <c r="AT538" s="28">
        <f t="shared" si="193"/>
        <v>0</v>
      </c>
      <c r="AU538" s="28"/>
      <c r="AV538" s="28"/>
      <c r="AW538" s="28"/>
      <c r="AX538" s="28"/>
      <c r="AY538" s="28"/>
    </row>
    <row r="539" spans="1:51" x14ac:dyDescent="0.25">
      <c r="A539" s="139">
        <f t="shared" si="178"/>
        <v>520</v>
      </c>
      <c r="B539" s="140">
        <f t="shared" si="179"/>
        <v>58</v>
      </c>
      <c r="C539" s="120" t="s">
        <v>81</v>
      </c>
      <c r="D539" s="120" t="s">
        <v>354</v>
      </c>
      <c r="E539" s="121">
        <v>1992</v>
      </c>
      <c r="F539" s="121">
        <v>2012</v>
      </c>
      <c r="G539" s="121" t="s">
        <v>83</v>
      </c>
      <c r="H539" s="121">
        <v>9</v>
      </c>
      <c r="I539" s="121">
        <v>2</v>
      </c>
      <c r="J539" s="107">
        <v>6461</v>
      </c>
      <c r="K539" s="107">
        <v>5606</v>
      </c>
      <c r="L539" s="107">
        <v>127.2</v>
      </c>
      <c r="M539" s="122">
        <v>222</v>
      </c>
      <c r="N539" s="123">
        <f t="shared" si="190"/>
        <v>14341071.920497594</v>
      </c>
      <c r="O539" s="107"/>
      <c r="P539" s="108"/>
      <c r="Q539" s="108"/>
      <c r="R539" s="108">
        <f t="shared" si="191"/>
        <v>4082540.3367999997</v>
      </c>
      <c r="S539" s="108">
        <f>+'Приложение №2'!E539-'Приложение №1'!R539</f>
        <v>10258531.583697595</v>
      </c>
      <c r="T539" s="108">
        <v>0</v>
      </c>
      <c r="U539" s="108">
        <f t="shared" si="192"/>
        <v>2558.1648092218329</v>
      </c>
      <c r="V539" s="108">
        <v>1225.2830200640001</v>
      </c>
      <c r="W539" s="135">
        <v>2024</v>
      </c>
      <c r="X539" s="28" t="e">
        <f>+#REF!-'[1]Приложение №1'!$P963</f>
        <v>#REF!</v>
      </c>
      <c r="Z539" s="30">
        <f t="shared" ref="Z539:Z560" si="194">SUM(AA539:AO539)</f>
        <v>20270690.991399139</v>
      </c>
      <c r="AA539" s="26">
        <v>13437177.92113563</v>
      </c>
      <c r="AB539" s="26">
        <v>0</v>
      </c>
      <c r="AC539" s="26">
        <v>3970815.0889603682</v>
      </c>
      <c r="AD539" s="26">
        <v>0</v>
      </c>
      <c r="AE539" s="26">
        <v>0</v>
      </c>
      <c r="AF539" s="26"/>
      <c r="AG539" s="26">
        <v>596995.06026331545</v>
      </c>
      <c r="AH539" s="26">
        <v>0</v>
      </c>
      <c r="AI539" s="26">
        <v>0</v>
      </c>
      <c r="AJ539" s="26">
        <v>0</v>
      </c>
      <c r="AK539" s="26">
        <v>0</v>
      </c>
      <c r="AL539" s="26">
        <v>0</v>
      </c>
      <c r="AM539" s="26">
        <v>1669263.3882914896</v>
      </c>
      <c r="AN539" s="31">
        <v>202706.9099139914</v>
      </c>
      <c r="AO539" s="32">
        <v>393732.62283434434</v>
      </c>
      <c r="AP539" s="77">
        <f>+N539-'Приложение №2'!E539</f>
        <v>0</v>
      </c>
      <c r="AQ539" s="1">
        <v>3293383.84</v>
      </c>
      <c r="AR539" s="1">
        <f>+(K539*13.29+L539*22.52)*12*0.85</f>
        <v>789156.49679999985</v>
      </c>
      <c r="AS539" s="1">
        <f>+(K539*13.29+L539*22.52)*12*30</f>
        <v>27852582.239999995</v>
      </c>
      <c r="AT539" s="28">
        <f t="shared" si="193"/>
        <v>-17594050.6563024</v>
      </c>
      <c r="AU539" s="28">
        <f>+P539-'[6]Приложение №1'!$P509</f>
        <v>0</v>
      </c>
      <c r="AV539" s="28">
        <f>+Q539-'[6]Приложение №1'!$Q509</f>
        <v>0</v>
      </c>
      <c r="AW539" s="28">
        <f>+R539-'[6]Приложение №1'!$R509</f>
        <v>0</v>
      </c>
      <c r="AX539" s="28">
        <f>+S539-'[6]Приложение №1'!$S509</f>
        <v>596995.06026331522</v>
      </c>
      <c r="AY539" s="28">
        <f>+T539-'[6]Приложение №1'!$T509</f>
        <v>0</v>
      </c>
    </row>
    <row r="540" spans="1:51" x14ac:dyDescent="0.25">
      <c r="A540" s="139">
        <f t="shared" si="178"/>
        <v>521</v>
      </c>
      <c r="B540" s="140">
        <f t="shared" si="179"/>
        <v>59</v>
      </c>
      <c r="C540" s="120" t="s">
        <v>81</v>
      </c>
      <c r="D540" s="120" t="s">
        <v>355</v>
      </c>
      <c r="E540" s="121">
        <v>1992</v>
      </c>
      <c r="F540" s="121">
        <v>2017</v>
      </c>
      <c r="G540" s="121" t="s">
        <v>83</v>
      </c>
      <c r="H540" s="121">
        <v>9</v>
      </c>
      <c r="I540" s="121">
        <v>2</v>
      </c>
      <c r="J540" s="107">
        <v>6450</v>
      </c>
      <c r="K540" s="107">
        <v>5551</v>
      </c>
      <c r="L540" s="107">
        <v>31</v>
      </c>
      <c r="M540" s="122">
        <v>215</v>
      </c>
      <c r="N540" s="123">
        <f t="shared" si="190"/>
        <v>18619115.200956475</v>
      </c>
      <c r="O540" s="107"/>
      <c r="P540" s="108"/>
      <c r="Q540" s="108"/>
      <c r="R540" s="108">
        <f t="shared" si="191"/>
        <v>1799839.3219999999</v>
      </c>
      <c r="S540" s="108">
        <f>+'Приложение №2'!E540-'Приложение №1'!P540-'Приложение №1'!Q540-'Приложение №1'!R540</f>
        <v>16819275.878956474</v>
      </c>
      <c r="T540" s="108"/>
      <c r="U540" s="108">
        <f t="shared" si="192"/>
        <v>3354.1911729339713</v>
      </c>
      <c r="V540" s="108">
        <v>1226.2830200640001</v>
      </c>
      <c r="W540" s="135">
        <v>2024</v>
      </c>
      <c r="X540" s="28" t="e">
        <f>+#REF!-'[1]Приложение №1'!$P964</f>
        <v>#REF!</v>
      </c>
      <c r="Z540" s="30">
        <f t="shared" si="194"/>
        <v>39482783.303666979</v>
      </c>
      <c r="AA540" s="26">
        <v>0</v>
      </c>
      <c r="AB540" s="26">
        <v>0</v>
      </c>
      <c r="AC540" s="26">
        <v>0</v>
      </c>
      <c r="AD540" s="26">
        <v>0</v>
      </c>
      <c r="AE540" s="26">
        <v>0</v>
      </c>
      <c r="AF540" s="26"/>
      <c r="AG540" s="26">
        <v>0</v>
      </c>
      <c r="AH540" s="26">
        <v>0</v>
      </c>
      <c r="AI540" s="26">
        <v>0</v>
      </c>
      <c r="AJ540" s="26">
        <v>0</v>
      </c>
      <c r="AK540" s="26">
        <v>38467833.172710508</v>
      </c>
      <c r="AL540" s="26">
        <v>0</v>
      </c>
      <c r="AM540" s="26">
        <v>149736.53</v>
      </c>
      <c r="AN540" s="26">
        <v>24000</v>
      </c>
      <c r="AO540" s="32">
        <v>841213.6009564735</v>
      </c>
      <c r="AP540" s="77">
        <f>+N540-'Приложение №2'!E540</f>
        <v>0</v>
      </c>
      <c r="AQ540" s="1">
        <f>3463402.89-'[4]Приложение №1'!$R$346</f>
        <v>1040236.04</v>
      </c>
      <c r="AR540" s="1">
        <f>+(K540*13.29+L540*22.52)*12*0.85</f>
        <v>759603.28199999989</v>
      </c>
      <c r="AS540" s="1">
        <f>+(K540*13.29+L540*22.52)*12*30-'[4]Приложение №1'!$S$346</f>
        <v>25928484.029999997</v>
      </c>
      <c r="AT540" s="28">
        <f t="shared" si="193"/>
        <v>-9109208.1510435231</v>
      </c>
      <c r="AU540" s="28">
        <f>+P540-'[6]Приложение №1'!$P510</f>
        <v>0</v>
      </c>
      <c r="AV540" s="28">
        <f>+Q540-'[6]Приложение №1'!$Q510</f>
        <v>0</v>
      </c>
      <c r="AW540" s="28">
        <f>+R540-'[6]Приложение №1'!$R510</f>
        <v>0</v>
      </c>
      <c r="AX540" s="28">
        <f>+S540-'[6]Приложение №1'!$S510</f>
        <v>0</v>
      </c>
      <c r="AY540" s="28">
        <f>+T540-'[6]Приложение №1'!$T510</f>
        <v>0</v>
      </c>
    </row>
    <row r="541" spans="1:51" x14ac:dyDescent="0.25">
      <c r="A541" s="139">
        <f t="shared" si="178"/>
        <v>522</v>
      </c>
      <c r="B541" s="140">
        <f t="shared" si="179"/>
        <v>60</v>
      </c>
      <c r="C541" s="120" t="s">
        <v>81</v>
      </c>
      <c r="D541" s="120" t="s">
        <v>200</v>
      </c>
      <c r="E541" s="121">
        <v>1992</v>
      </c>
      <c r="F541" s="121">
        <v>1992</v>
      </c>
      <c r="G541" s="121" t="s">
        <v>43</v>
      </c>
      <c r="H541" s="121">
        <v>2</v>
      </c>
      <c r="I541" s="121">
        <v>8</v>
      </c>
      <c r="J541" s="107">
        <v>962.7</v>
      </c>
      <c r="K541" s="107">
        <v>961.6</v>
      </c>
      <c r="L541" s="107">
        <v>0</v>
      </c>
      <c r="M541" s="122">
        <v>42</v>
      </c>
      <c r="N541" s="123">
        <f t="shared" si="190"/>
        <v>19924826.192769855</v>
      </c>
      <c r="O541" s="107"/>
      <c r="P541" s="108">
        <f>3229187.718+3305635.25-6000000</f>
        <v>534822.96800000034</v>
      </c>
      <c r="Q541" s="108"/>
      <c r="R541" s="108">
        <f t="shared" si="191"/>
        <v>603918.38</v>
      </c>
      <c r="S541" s="108">
        <f>+AS541</f>
        <v>3461760</v>
      </c>
      <c r="T541" s="108">
        <f>+'Приложение №2'!E541-'Приложение №1'!P541-'Приложение №1'!R541-'Приложение №1'!S541</f>
        <v>15324324.844769854</v>
      </c>
      <c r="U541" s="108">
        <f t="shared" si="192"/>
        <v>20720.4931289204</v>
      </c>
      <c r="V541" s="108">
        <v>1227.2830200640001</v>
      </c>
      <c r="W541" s="135">
        <v>2024</v>
      </c>
      <c r="X541" s="28" t="e">
        <f>+#REF!-'[1]Приложение №1'!$P966</f>
        <v>#REF!</v>
      </c>
      <c r="Z541" s="30">
        <f t="shared" si="194"/>
        <v>20215689.170000002</v>
      </c>
      <c r="AA541" s="26">
        <v>0</v>
      </c>
      <c r="AB541" s="26">
        <v>0</v>
      </c>
      <c r="AC541" s="26">
        <v>0</v>
      </c>
      <c r="AD541" s="26">
        <v>0</v>
      </c>
      <c r="AE541" s="26">
        <v>0</v>
      </c>
      <c r="AF541" s="26"/>
      <c r="AG541" s="26">
        <v>0</v>
      </c>
      <c r="AH541" s="26">
        <v>0</v>
      </c>
      <c r="AI541" s="26">
        <v>8186116.5976968007</v>
      </c>
      <c r="AJ541" s="26">
        <v>0</v>
      </c>
      <c r="AK541" s="26">
        <v>9511775.5987569001</v>
      </c>
      <c r="AL541" s="26">
        <v>0</v>
      </c>
      <c r="AM541" s="26">
        <v>1928623.0238000001</v>
      </c>
      <c r="AN541" s="31">
        <v>202156.89170000004</v>
      </c>
      <c r="AO541" s="32">
        <v>387017.05804630002</v>
      </c>
      <c r="AP541" s="77">
        <f>+N541-'Приложение №2'!E541</f>
        <v>0</v>
      </c>
      <c r="AQ541" s="1">
        <v>505835.18</v>
      </c>
      <c r="AR541" s="1">
        <f>+(K541*10+L541*20)*12*0.85</f>
        <v>98083.199999999997</v>
      </c>
      <c r="AS541" s="1">
        <f>+(K541*10+L541*20)*12*30</f>
        <v>3461760</v>
      </c>
      <c r="AT541" s="28">
        <f t="shared" si="193"/>
        <v>0</v>
      </c>
      <c r="AU541" s="28">
        <f>+P541-'[6]Приложение №1'!$P511</f>
        <v>0</v>
      </c>
      <c r="AV541" s="28">
        <f>+Q541-'[6]Приложение №1'!$Q511</f>
        <v>0</v>
      </c>
      <c r="AW541" s="28">
        <f>+R541-'[6]Приложение №1'!$R511</f>
        <v>0</v>
      </c>
      <c r="AX541" s="28">
        <f>+S541-'[6]Приложение №1'!$S511</f>
        <v>0</v>
      </c>
      <c r="AY541" s="28">
        <f>+T541-'[6]Приложение №1'!$T511</f>
        <v>-109058.36723014712</v>
      </c>
    </row>
    <row r="542" spans="1:51" x14ac:dyDescent="0.25">
      <c r="A542" s="139">
        <f t="shared" si="178"/>
        <v>523</v>
      </c>
      <c r="B542" s="140">
        <f t="shared" si="179"/>
        <v>61</v>
      </c>
      <c r="C542" s="120" t="s">
        <v>81</v>
      </c>
      <c r="D542" s="120" t="s">
        <v>356</v>
      </c>
      <c r="E542" s="121">
        <v>1984</v>
      </c>
      <c r="F542" s="121">
        <v>2016</v>
      </c>
      <c r="G542" s="121" t="s">
        <v>43</v>
      </c>
      <c r="H542" s="121">
        <v>5</v>
      </c>
      <c r="I542" s="121">
        <v>4</v>
      </c>
      <c r="J542" s="107">
        <v>5755.6</v>
      </c>
      <c r="K542" s="107">
        <v>4829.1000000000004</v>
      </c>
      <c r="L542" s="107">
        <v>0</v>
      </c>
      <c r="M542" s="122">
        <v>186</v>
      </c>
      <c r="N542" s="123">
        <f t="shared" si="190"/>
        <v>38805930.892149538</v>
      </c>
      <c r="O542" s="107"/>
      <c r="P542" s="108">
        <v>3288801.0671485327</v>
      </c>
      <c r="Q542" s="108"/>
      <c r="R542" s="108">
        <f t="shared" si="191"/>
        <v>2704214.54</v>
      </c>
      <c r="S542" s="108">
        <f>+AS542</f>
        <v>17384760</v>
      </c>
      <c r="T542" s="108">
        <f>+'Приложение №2'!E542-'Приложение №1'!P542-'Приложение №1'!R542-'Приложение №1'!S542</f>
        <v>15428155.285001002</v>
      </c>
      <c r="U542" s="108">
        <f t="shared" si="192"/>
        <v>8035.8515856266249</v>
      </c>
      <c r="V542" s="108">
        <v>1228.2830200640001</v>
      </c>
      <c r="W542" s="135">
        <v>2024</v>
      </c>
      <c r="X542" s="28" t="e">
        <f>+#REF!-'[1]Приложение №1'!$P967</f>
        <v>#REF!</v>
      </c>
      <c r="Z542" s="30">
        <f t="shared" si="194"/>
        <v>33258616.608594127</v>
      </c>
      <c r="AA542" s="26">
        <v>9139483.8463669065</v>
      </c>
      <c r="AB542" s="26">
        <v>0</v>
      </c>
      <c r="AC542" s="26">
        <v>0</v>
      </c>
      <c r="AD542" s="26">
        <v>3864839.2348521813</v>
      </c>
      <c r="AE542" s="26">
        <v>0</v>
      </c>
      <c r="AF542" s="26"/>
      <c r="AG542" s="26">
        <v>397616.119024474</v>
      </c>
      <c r="AH542" s="26">
        <v>0</v>
      </c>
      <c r="AI542" s="26">
        <v>15843387.174315393</v>
      </c>
      <c r="AJ542" s="26">
        <v>0</v>
      </c>
      <c r="AK542" s="26">
        <v>0</v>
      </c>
      <c r="AL542" s="26">
        <v>0</v>
      </c>
      <c r="AM542" s="26">
        <v>3041168.0119349672</v>
      </c>
      <c r="AN542" s="31">
        <v>332586.16608594125</v>
      </c>
      <c r="AO542" s="32">
        <v>639536.05601426703</v>
      </c>
      <c r="AP542" s="77">
        <f>+N542-'Приложение №2'!E542</f>
        <v>0</v>
      </c>
      <c r="AQ542" s="1">
        <v>2211646.34</v>
      </c>
      <c r="AR542" s="1">
        <f>+(K542*10+L542*20)*12*0.85</f>
        <v>492568.2</v>
      </c>
      <c r="AS542" s="1">
        <f>+(K542*10+L542*20)*12*30</f>
        <v>17384760</v>
      </c>
      <c r="AT542" s="28">
        <f t="shared" si="193"/>
        <v>0</v>
      </c>
      <c r="AU542" s="28">
        <f>+P542-'[6]Приложение №1'!$P512</f>
        <v>0</v>
      </c>
      <c r="AV542" s="28">
        <f>+Q542-'[6]Приложение №1'!$Q512</f>
        <v>0</v>
      </c>
      <c r="AW542" s="28">
        <f>+R542-'[6]Приложение №1'!$R512</f>
        <v>0</v>
      </c>
      <c r="AX542" s="28">
        <f>+S542-'[6]Приложение №1'!$S512</f>
        <v>0</v>
      </c>
      <c r="AY542" s="28">
        <f>+T542-'[6]Приложение №1'!$T512</f>
        <v>5819536.1284174211</v>
      </c>
    </row>
    <row r="543" spans="1:51" x14ac:dyDescent="0.25">
      <c r="A543" s="139">
        <f t="shared" si="178"/>
        <v>524</v>
      </c>
      <c r="B543" s="140">
        <f t="shared" si="179"/>
        <v>62</v>
      </c>
      <c r="C543" s="120" t="s">
        <v>81</v>
      </c>
      <c r="D543" s="120" t="s">
        <v>357</v>
      </c>
      <c r="E543" s="121">
        <v>1988</v>
      </c>
      <c r="F543" s="121">
        <v>2017</v>
      </c>
      <c r="G543" s="121" t="s">
        <v>83</v>
      </c>
      <c r="H543" s="121">
        <v>9</v>
      </c>
      <c r="I543" s="121">
        <v>3</v>
      </c>
      <c r="J543" s="107">
        <v>8927</v>
      </c>
      <c r="K543" s="107">
        <v>7116.5</v>
      </c>
      <c r="L543" s="107">
        <v>0</v>
      </c>
      <c r="M543" s="122">
        <v>291</v>
      </c>
      <c r="N543" s="123">
        <f t="shared" si="190"/>
        <v>8370298.1810806282</v>
      </c>
      <c r="O543" s="107"/>
      <c r="P543" s="108"/>
      <c r="Q543" s="108"/>
      <c r="R543" s="108">
        <f t="shared" si="191"/>
        <v>5418954.5269999998</v>
      </c>
      <c r="S543" s="108">
        <f>+'Приложение №2'!E543-'Приложение №1'!R543</f>
        <v>2951343.6540806284</v>
      </c>
      <c r="T543" s="108">
        <v>0</v>
      </c>
      <c r="U543" s="108">
        <f t="shared" si="192"/>
        <v>1176.181856401409</v>
      </c>
      <c r="V543" s="108">
        <v>1229.2830200640001</v>
      </c>
      <c r="W543" s="135">
        <v>2024</v>
      </c>
      <c r="X543" s="28" t="e">
        <f>+#REF!-'[1]Приложение №1'!$P968</f>
        <v>#REF!</v>
      </c>
      <c r="Z543" s="30">
        <f t="shared" si="194"/>
        <v>8403162.2358746398</v>
      </c>
      <c r="AA543" s="26">
        <v>0</v>
      </c>
      <c r="AB543" s="26">
        <v>0</v>
      </c>
      <c r="AC543" s="26">
        <v>0</v>
      </c>
      <c r="AD543" s="26">
        <v>0</v>
      </c>
      <c r="AE543" s="26">
        <v>0</v>
      </c>
      <c r="AF543" s="26"/>
      <c r="AG543" s="26">
        <v>0</v>
      </c>
      <c r="AH543" s="26">
        <v>0</v>
      </c>
      <c r="AI543" s="26">
        <v>7401001.10762423</v>
      </c>
      <c r="AJ543" s="26">
        <v>0</v>
      </c>
      <c r="AK543" s="26">
        <v>0</v>
      </c>
      <c r="AL543" s="26">
        <v>0</v>
      </c>
      <c r="AM543" s="26">
        <v>756284.6012287176</v>
      </c>
      <c r="AN543" s="31">
        <v>84031.622358746405</v>
      </c>
      <c r="AO543" s="32">
        <v>161844.90466294557</v>
      </c>
      <c r="AP543" s="77">
        <f>+N543-'Приложение №2'!E543</f>
        <v>0</v>
      </c>
      <c r="AQ543" s="1">
        <v>4454256.0199999996</v>
      </c>
      <c r="AR543" s="1">
        <f>+(K543*13.29+L543*22.52)*12*0.85</f>
        <v>964698.50699999987</v>
      </c>
      <c r="AS543" s="1">
        <f>+(K543*13.29+L543*22.52)*12*30</f>
        <v>34048182.599999994</v>
      </c>
      <c r="AT543" s="28">
        <f t="shared" si="193"/>
        <v>-31096838.945919365</v>
      </c>
      <c r="AU543" s="28">
        <f>+P543-'[6]Приложение №1'!$P513</f>
        <v>0</v>
      </c>
      <c r="AV543" s="28">
        <f>+Q543-'[6]Приложение №1'!$Q513</f>
        <v>0</v>
      </c>
      <c r="AW543" s="28">
        <f>+R543-'[6]Приложение №1'!$R513</f>
        <v>0</v>
      </c>
      <c r="AX543" s="28">
        <f>+S543-'[6]Приложение №1'!$S513</f>
        <v>807452.1687934529</v>
      </c>
      <c r="AY543" s="28">
        <f>+T543-'[6]Приложение №1'!$T513</f>
        <v>0</v>
      </c>
    </row>
    <row r="544" spans="1:51" x14ac:dyDescent="0.25">
      <c r="A544" s="139">
        <f t="shared" si="178"/>
        <v>525</v>
      </c>
      <c r="B544" s="140">
        <f t="shared" si="179"/>
        <v>63</v>
      </c>
      <c r="C544" s="120" t="s">
        <v>81</v>
      </c>
      <c r="D544" s="120" t="s">
        <v>199</v>
      </c>
      <c r="E544" s="121">
        <v>1996</v>
      </c>
      <c r="F544" s="121">
        <v>1996</v>
      </c>
      <c r="G544" s="121" t="s">
        <v>43</v>
      </c>
      <c r="H544" s="121">
        <v>3</v>
      </c>
      <c r="I544" s="121">
        <v>2</v>
      </c>
      <c r="J544" s="107">
        <v>1212.9000000000001</v>
      </c>
      <c r="K544" s="107">
        <v>969.5</v>
      </c>
      <c r="L544" s="107">
        <v>83.1</v>
      </c>
      <c r="M544" s="122">
        <v>29</v>
      </c>
      <c r="N544" s="123">
        <f t="shared" si="190"/>
        <v>7124914.2461542385</v>
      </c>
      <c r="O544" s="107"/>
      <c r="P544" s="108">
        <f>1035981.19203952+28011.37</f>
        <v>1063992.5620395201</v>
      </c>
      <c r="Q544" s="108"/>
      <c r="R544" s="108">
        <f t="shared" si="191"/>
        <v>647279.99</v>
      </c>
      <c r="S544" s="108">
        <f>+AS544</f>
        <v>4088520</v>
      </c>
      <c r="T544" s="108">
        <f>+'Приложение №2'!E544-'Приложение №1'!P544-'Приложение №1'!Q544-'Приложение №1'!R544-'Приложение №1'!S544</f>
        <v>1325121.6941147186</v>
      </c>
      <c r="U544" s="108">
        <f t="shared" si="192"/>
        <v>7349.0605942797711</v>
      </c>
      <c r="V544" s="108">
        <v>1230.2830200640001</v>
      </c>
      <c r="W544" s="135">
        <v>2024</v>
      </c>
      <c r="X544" s="28" t="e">
        <f>+#REF!-'[1]Приложение №1'!$P596</f>
        <v>#REF!</v>
      </c>
      <c r="Z544" s="30">
        <f t="shared" si="194"/>
        <v>8757819.8400000017</v>
      </c>
      <c r="AA544" s="26">
        <v>4004514.1821484803</v>
      </c>
      <c r="AB544" s="26">
        <v>2086346.4776985601</v>
      </c>
      <c r="AC544" s="26">
        <v>863302.14653759997</v>
      </c>
      <c r="AD544" s="26">
        <v>448610.79529728007</v>
      </c>
      <c r="AE544" s="26">
        <v>0</v>
      </c>
      <c r="AF544" s="26"/>
      <c r="AG544" s="26">
        <v>327305.36184192001</v>
      </c>
      <c r="AH544" s="26">
        <v>0</v>
      </c>
      <c r="AI544" s="26">
        <v>0</v>
      </c>
      <c r="AJ544" s="26">
        <v>0</v>
      </c>
      <c r="AK544" s="26">
        <v>0</v>
      </c>
      <c r="AL544" s="26">
        <v>0</v>
      </c>
      <c r="AM544" s="26">
        <v>771121.50719999999</v>
      </c>
      <c r="AN544" s="31">
        <v>87578.198400000023</v>
      </c>
      <c r="AO544" s="32">
        <v>169041.17087616003</v>
      </c>
      <c r="AP544" s="77">
        <f>+N544-'Приложение №2'!E544</f>
        <v>0</v>
      </c>
      <c r="AQ544" s="33">
        <v>531438.59</v>
      </c>
      <c r="AR544" s="1">
        <f>+(K544*10+L544*20)*12*0.85</f>
        <v>115841.4</v>
      </c>
      <c r="AS544" s="1">
        <f>+(K544*10+L544*20)*12*30</f>
        <v>4088520</v>
      </c>
      <c r="AT544" s="28">
        <f t="shared" si="193"/>
        <v>0</v>
      </c>
      <c r="AU544" s="28">
        <f>+P544-'[6]Приложение №1'!$P514</f>
        <v>0</v>
      </c>
      <c r="AV544" s="28">
        <f>+Q544-'[6]Приложение №1'!$Q514</f>
        <v>0</v>
      </c>
      <c r="AW544" s="28">
        <f>+R544-'[6]Приложение №1'!$R514</f>
        <v>0</v>
      </c>
      <c r="AX544" s="28">
        <f>+S544-'[6]Приложение №1'!$S514</f>
        <v>0</v>
      </c>
      <c r="AY544" s="28">
        <f>+T544-'[6]Приложение №1'!$T514</f>
        <v>327305.3618419189</v>
      </c>
    </row>
    <row r="545" spans="1:51" x14ac:dyDescent="0.25">
      <c r="A545" s="139">
        <f t="shared" si="178"/>
        <v>526</v>
      </c>
      <c r="B545" s="140">
        <f t="shared" si="179"/>
        <v>64</v>
      </c>
      <c r="C545" s="120" t="s">
        <v>81</v>
      </c>
      <c r="D545" s="120" t="s">
        <v>358</v>
      </c>
      <c r="E545" s="121">
        <v>1983</v>
      </c>
      <c r="F545" s="121">
        <v>2007</v>
      </c>
      <c r="G545" s="121" t="s">
        <v>83</v>
      </c>
      <c r="H545" s="121">
        <v>5</v>
      </c>
      <c r="I545" s="121">
        <v>3</v>
      </c>
      <c r="J545" s="107">
        <v>5113.2</v>
      </c>
      <c r="K545" s="107">
        <v>4295.2</v>
      </c>
      <c r="L545" s="107">
        <v>0</v>
      </c>
      <c r="M545" s="122">
        <v>187</v>
      </c>
      <c r="N545" s="123">
        <f t="shared" si="190"/>
        <v>3323108.484322099</v>
      </c>
      <c r="O545" s="107"/>
      <c r="P545" s="108"/>
      <c r="Q545" s="108"/>
      <c r="R545" s="108">
        <f t="shared" si="191"/>
        <v>2453478.9500000002</v>
      </c>
      <c r="S545" s="108">
        <f>+'Приложение №2'!E545-'Приложение №1'!R545</f>
        <v>869629.53432209883</v>
      </c>
      <c r="T545" s="108">
        <v>0</v>
      </c>
      <c r="U545" s="108">
        <f t="shared" si="192"/>
        <v>773.67956889599998</v>
      </c>
      <c r="V545" s="108">
        <v>1231.2830200640001</v>
      </c>
      <c r="W545" s="135">
        <v>2024</v>
      </c>
      <c r="X545" s="28" t="e">
        <f>+#REF!-'[1]Приложение №1'!$P597</f>
        <v>#REF!</v>
      </c>
      <c r="Z545" s="30">
        <f t="shared" si="194"/>
        <v>17280414.083158389</v>
      </c>
      <c r="AA545" s="26">
        <v>10767125.593739318</v>
      </c>
      <c r="AB545" s="26">
        <v>0</v>
      </c>
      <c r="AC545" s="26">
        <v>4113978.3002970773</v>
      </c>
      <c r="AD545" s="26">
        <v>0</v>
      </c>
      <c r="AE545" s="26">
        <v>0</v>
      </c>
      <c r="AF545" s="26"/>
      <c r="AG545" s="26">
        <v>447036.35546105617</v>
      </c>
      <c r="AH545" s="26">
        <v>0</v>
      </c>
      <c r="AI545" s="26">
        <v>0</v>
      </c>
      <c r="AJ545" s="26">
        <v>0</v>
      </c>
      <c r="AK545" s="26">
        <v>0</v>
      </c>
      <c r="AL545" s="26">
        <v>0</v>
      </c>
      <c r="AM545" s="26">
        <v>1444274.3103040662</v>
      </c>
      <c r="AN545" s="31">
        <v>172804.14083158388</v>
      </c>
      <c r="AO545" s="32">
        <v>335195.38252528664</v>
      </c>
      <c r="AP545" s="77">
        <f>+N545-'Приложение №2'!E545</f>
        <v>0</v>
      </c>
      <c r="AQ545" s="1">
        <v>2015368.55</v>
      </c>
      <c r="AR545" s="1">
        <f>+(K545*10+L545*20)*12*0.85</f>
        <v>438110.39999999997</v>
      </c>
      <c r="AS545" s="1">
        <f>+(K545*10+L545*20)*12*30</f>
        <v>15462720</v>
      </c>
      <c r="AT545" s="28">
        <f t="shared" si="193"/>
        <v>-14593090.465677902</v>
      </c>
      <c r="AU545" s="28">
        <f>+P545-'[6]Приложение №1'!$P515</f>
        <v>0</v>
      </c>
      <c r="AV545" s="28">
        <f>+Q545-'[6]Приложение №1'!$Q515</f>
        <v>0</v>
      </c>
      <c r="AW545" s="28">
        <f>+R545-'[6]Приложение №1'!$R515</f>
        <v>0</v>
      </c>
      <c r="AX545" s="28">
        <f>+S545-'[6]Приложение №1'!$S515</f>
        <v>0</v>
      </c>
      <c r="AY545" s="28">
        <f>+T545-'[6]Приложение №1'!$T515</f>
        <v>0</v>
      </c>
    </row>
    <row r="546" spans="1:51" x14ac:dyDescent="0.25">
      <c r="A546" s="139">
        <f t="shared" si="178"/>
        <v>527</v>
      </c>
      <c r="B546" s="140">
        <f t="shared" si="179"/>
        <v>65</v>
      </c>
      <c r="C546" s="120" t="s">
        <v>81</v>
      </c>
      <c r="D546" s="120" t="s">
        <v>359</v>
      </c>
      <c r="E546" s="121">
        <v>1980</v>
      </c>
      <c r="F546" s="121">
        <v>2011</v>
      </c>
      <c r="G546" s="121" t="s">
        <v>83</v>
      </c>
      <c r="H546" s="121">
        <v>5</v>
      </c>
      <c r="I546" s="121">
        <v>6</v>
      </c>
      <c r="J546" s="107">
        <v>6841.9</v>
      </c>
      <c r="K546" s="107">
        <v>5717.4</v>
      </c>
      <c r="L546" s="107">
        <v>467.7</v>
      </c>
      <c r="M546" s="122">
        <v>273</v>
      </c>
      <c r="N546" s="123">
        <f t="shared" si="190"/>
        <v>25777524.930161469</v>
      </c>
      <c r="O546" s="107"/>
      <c r="P546" s="108">
        <f>+'Приложение №2'!E546-'Приложение №1'!R546-'Приложение №1'!S546</f>
        <v>0</v>
      </c>
      <c r="Q546" s="108"/>
      <c r="R546" s="108">
        <f t="shared" si="191"/>
        <v>3647493.98</v>
      </c>
      <c r="S546" s="108">
        <f>+'Приложение №2'!E546-'Приложение №1'!R546</f>
        <v>22130030.950161468</v>
      </c>
      <c r="T546" s="108">
        <f>+'Приложение №2'!E546-'Приложение №1'!P546-'Приложение №1'!R546-'Приложение №1'!S546</f>
        <v>0</v>
      </c>
      <c r="U546" s="108">
        <f t="shared" si="192"/>
        <v>4508.6096705078307</v>
      </c>
      <c r="V546" s="108">
        <v>1232.2830200640001</v>
      </c>
      <c r="W546" s="135">
        <v>2024</v>
      </c>
      <c r="X546" s="28" t="e">
        <f>+#REF!-'[1]Приложение №1'!$P598</f>
        <v>#REF!</v>
      </c>
      <c r="Z546" s="30">
        <f t="shared" si="194"/>
        <v>28963511.157484796</v>
      </c>
      <c r="AA546" s="26">
        <v>0</v>
      </c>
      <c r="AB546" s="26">
        <v>0</v>
      </c>
      <c r="AC546" s="26">
        <v>0</v>
      </c>
      <c r="AD546" s="26">
        <v>0</v>
      </c>
      <c r="AE546" s="26">
        <v>0</v>
      </c>
      <c r="AF546" s="26"/>
      <c r="AG546" s="26">
        <v>0</v>
      </c>
      <c r="AH546" s="26">
        <v>0</v>
      </c>
      <c r="AI546" s="26">
        <v>0</v>
      </c>
      <c r="AJ546" s="26">
        <v>0</v>
      </c>
      <c r="AK546" s="26">
        <v>25225885.896656014</v>
      </c>
      <c r="AL546" s="26">
        <v>0</v>
      </c>
      <c r="AM546" s="26">
        <v>2896351.11574848</v>
      </c>
      <c r="AN546" s="31">
        <v>289635.11157484795</v>
      </c>
      <c r="AO546" s="32">
        <v>551639.03350545547</v>
      </c>
      <c r="AP546" s="77">
        <f>+N546-'Приложение №2'!E546</f>
        <v>0</v>
      </c>
      <c r="AQ546" s="1">
        <v>2968908.38</v>
      </c>
      <c r="AR546" s="1">
        <f>+(K546*10+L546*20)*12*0.85</f>
        <v>678585.6</v>
      </c>
      <c r="AS546" s="1">
        <f>+(K546*10+L546*20)*12*30</f>
        <v>23950080</v>
      </c>
      <c r="AT546" s="28">
        <f t="shared" si="193"/>
        <v>-1820049.0498385318</v>
      </c>
      <c r="AU546" s="28">
        <f>+P546-'[6]Приложение №1'!$P516</f>
        <v>0</v>
      </c>
      <c r="AV546" s="28">
        <f>+Q546-'[6]Приложение №1'!$Q516</f>
        <v>0</v>
      </c>
      <c r="AW546" s="28">
        <f>+R546-'[6]Приложение №1'!$R516</f>
        <v>0</v>
      </c>
      <c r="AX546" s="28">
        <f>+S546-'[6]Приложение №1'!$S516</f>
        <v>0</v>
      </c>
      <c r="AY546" s="28">
        <f>+T546-'[6]Приложение №1'!$T516</f>
        <v>0</v>
      </c>
    </row>
    <row r="547" spans="1:51" x14ac:dyDescent="0.25">
      <c r="A547" s="139">
        <f t="shared" si="178"/>
        <v>528</v>
      </c>
      <c r="B547" s="140">
        <f t="shared" si="179"/>
        <v>66</v>
      </c>
      <c r="C547" s="120" t="s">
        <v>81</v>
      </c>
      <c r="D547" s="120" t="s">
        <v>202</v>
      </c>
      <c r="E547" s="121">
        <v>1987</v>
      </c>
      <c r="F547" s="121">
        <v>2017</v>
      </c>
      <c r="G547" s="121" t="s">
        <v>83</v>
      </c>
      <c r="H547" s="121">
        <v>9</v>
      </c>
      <c r="I547" s="121">
        <v>1</v>
      </c>
      <c r="J547" s="107">
        <v>2767.8</v>
      </c>
      <c r="K547" s="107">
        <v>2150.8000000000002</v>
      </c>
      <c r="L547" s="107">
        <v>66.8</v>
      </c>
      <c r="M547" s="122">
        <v>94</v>
      </c>
      <c r="N547" s="123">
        <f t="shared" si="190"/>
        <v>13959928.783242105</v>
      </c>
      <c r="O547" s="107"/>
      <c r="P547" s="108">
        <v>2937535.5499065467</v>
      </c>
      <c r="Q547" s="108"/>
      <c r="R547" s="108">
        <f t="shared" si="191"/>
        <v>0</v>
      </c>
      <c r="S547" s="108">
        <f>+AS547</f>
        <v>6597178.9126290623</v>
      </c>
      <c r="T547" s="108">
        <f>+'Приложение №2'!E547-'Приложение №1'!P547-'Приложение №1'!R547-'Приложение №1'!S547</f>
        <v>4425214.320706496</v>
      </c>
      <c r="U547" s="108">
        <f t="shared" si="192"/>
        <v>6490.5750340534232</v>
      </c>
      <c r="V547" s="108">
        <v>1233.2830200640001</v>
      </c>
      <c r="W547" s="135">
        <v>2024</v>
      </c>
      <c r="X547" s="28" t="e">
        <f>+#REF!-'[1]Приложение №1'!$P1352</f>
        <v>#REF!</v>
      </c>
      <c r="Z547" s="30">
        <f t="shared" si="194"/>
        <v>24358296.106563497</v>
      </c>
      <c r="AA547" s="26">
        <v>5322442.2844350552</v>
      </c>
      <c r="AB547" s="26">
        <v>2129484.5377048999</v>
      </c>
      <c r="AC547" s="26">
        <v>0</v>
      </c>
      <c r="AD547" s="26">
        <v>0</v>
      </c>
      <c r="AE547" s="26">
        <v>0</v>
      </c>
      <c r="AF547" s="26"/>
      <c r="AG547" s="26">
        <v>236468.68196531132</v>
      </c>
      <c r="AH547" s="26">
        <v>0</v>
      </c>
      <c r="AI547" s="26">
        <v>0</v>
      </c>
      <c r="AJ547" s="26">
        <v>0</v>
      </c>
      <c r="AK547" s="26">
        <v>13665253.188203763</v>
      </c>
      <c r="AL547" s="26">
        <v>0</v>
      </c>
      <c r="AM547" s="26">
        <v>2294103.4047365393</v>
      </c>
      <c r="AN547" s="31">
        <v>243582.96106563497</v>
      </c>
      <c r="AO547" s="32">
        <v>466961.04845229239</v>
      </c>
      <c r="AP547" s="77">
        <f>+N547-'Приложение №2'!E547</f>
        <v>0</v>
      </c>
      <c r="AQ547" s="28">
        <f>1394329.46-R243</f>
        <v>-306902.37360000005</v>
      </c>
      <c r="AR547" s="1">
        <f>+(K547*13.29+L547*22.52)*12*0.85</f>
        <v>306902.37360000005</v>
      </c>
      <c r="AS547" s="1">
        <f>+(K547*13.29+L547*22.52)*12*30-S243</f>
        <v>6597178.9126290623</v>
      </c>
      <c r="AT547" s="28">
        <f t="shared" si="193"/>
        <v>0</v>
      </c>
      <c r="AU547" s="28">
        <f>+P547-'[6]Приложение №1'!$P517</f>
        <v>0</v>
      </c>
      <c r="AV547" s="28">
        <f>+Q547-'[6]Приложение №1'!$Q517</f>
        <v>0</v>
      </c>
      <c r="AW547" s="28">
        <f>+R547-'[6]Приложение №1'!$R517</f>
        <v>0</v>
      </c>
      <c r="AX547" s="28">
        <f>+S547-'[6]Приложение №1'!$S517</f>
        <v>0</v>
      </c>
      <c r="AY547" s="28">
        <f>+T547-'[6]Приложение №1'!$T517</f>
        <v>0</v>
      </c>
    </row>
    <row r="548" spans="1:51" x14ac:dyDescent="0.25">
      <c r="A548" s="139">
        <f t="shared" ref="A548:A611" si="195">+A547+1</f>
        <v>529</v>
      </c>
      <c r="B548" s="140">
        <f t="shared" ref="B548:B611" si="196">+B547+1</f>
        <v>67</v>
      </c>
      <c r="C548" s="120" t="s">
        <v>81</v>
      </c>
      <c r="D548" s="120" t="s">
        <v>360</v>
      </c>
      <c r="E548" s="121">
        <v>1987</v>
      </c>
      <c r="F548" s="121">
        <v>2016</v>
      </c>
      <c r="G548" s="121" t="s">
        <v>83</v>
      </c>
      <c r="H548" s="121">
        <v>5</v>
      </c>
      <c r="I548" s="121">
        <v>4</v>
      </c>
      <c r="J548" s="107">
        <v>5859.43</v>
      </c>
      <c r="K548" s="107">
        <v>4644.3999999999996</v>
      </c>
      <c r="L548" s="107">
        <v>278.60000000000002</v>
      </c>
      <c r="M548" s="122">
        <v>182</v>
      </c>
      <c r="N548" s="123">
        <f t="shared" si="190"/>
        <v>7536651.091054799</v>
      </c>
      <c r="O548" s="107"/>
      <c r="P548" s="108"/>
      <c r="Q548" s="108"/>
      <c r="R548" s="108">
        <f t="shared" si="191"/>
        <v>3004626.7699999996</v>
      </c>
      <c r="S548" s="108">
        <f>+'Приложение №2'!E548-'Приложение №1'!R548</f>
        <v>4532024.3210547995</v>
      </c>
      <c r="T548" s="108">
        <v>0</v>
      </c>
      <c r="U548" s="108">
        <f t="shared" si="192"/>
        <v>1622.7394477337868</v>
      </c>
      <c r="V548" s="108">
        <v>1234.2830200640001</v>
      </c>
      <c r="W548" s="135">
        <v>2024</v>
      </c>
      <c r="X548" s="28" t="e">
        <f>+#REF!-'[1]Приложение №1'!$P601</f>
        <v>#REF!</v>
      </c>
      <c r="Z548" s="30">
        <f t="shared" si="194"/>
        <v>8468147.2933200002</v>
      </c>
      <c r="AA548" s="26">
        <v>0</v>
      </c>
      <c r="AB548" s="26">
        <v>0</v>
      </c>
      <c r="AC548" s="26">
        <v>0</v>
      </c>
      <c r="AD548" s="26">
        <v>0</v>
      </c>
      <c r="AE548" s="26">
        <v>0</v>
      </c>
      <c r="AF548" s="26"/>
      <c r="AG548" s="26">
        <v>0</v>
      </c>
      <c r="AH548" s="26">
        <v>0</v>
      </c>
      <c r="AI548" s="26">
        <v>0</v>
      </c>
      <c r="AJ548" s="26">
        <v>7375366.7577062268</v>
      </c>
      <c r="AK548" s="26">
        <v>0</v>
      </c>
      <c r="AL548" s="26">
        <v>0</v>
      </c>
      <c r="AM548" s="26">
        <v>846814.72933200002</v>
      </c>
      <c r="AN548" s="31">
        <v>84681.472933199999</v>
      </c>
      <c r="AO548" s="32">
        <v>161284.33334857272</v>
      </c>
      <c r="AP548" s="77">
        <f>+N548-'Приложение №2'!E548</f>
        <v>0</v>
      </c>
      <c r="AQ548" s="1">
        <v>2474063.5699999998</v>
      </c>
      <c r="AR548" s="1">
        <f>+(K548*10+L548*20)*12*0.85</f>
        <v>530563.19999999995</v>
      </c>
      <c r="AS548" s="1">
        <f>+(K548*10+L548*20)*12*30</f>
        <v>18725760</v>
      </c>
      <c r="AT548" s="28">
        <f t="shared" si="193"/>
        <v>-14193735.678945201</v>
      </c>
      <c r="AU548" s="28">
        <f>+P548-'[6]Приложение №1'!$P518</f>
        <v>0</v>
      </c>
      <c r="AV548" s="28">
        <f>+Q548-'[6]Приложение №1'!$Q518</f>
        <v>0</v>
      </c>
      <c r="AW548" s="28">
        <f>+R548-'[6]Приложение №1'!$R518</f>
        <v>0</v>
      </c>
      <c r="AX548" s="28">
        <f>+S548-'[6]Приложение №1'!$S518</f>
        <v>0</v>
      </c>
      <c r="AY548" s="28">
        <f>+T548-'[6]Приложение №1'!$T518</f>
        <v>0</v>
      </c>
    </row>
    <row r="549" spans="1:51" x14ac:dyDescent="0.25">
      <c r="A549" s="139">
        <f t="shared" si="195"/>
        <v>530</v>
      </c>
      <c r="B549" s="140">
        <f t="shared" si="196"/>
        <v>68</v>
      </c>
      <c r="C549" s="120" t="s">
        <v>81</v>
      </c>
      <c r="D549" s="120" t="s">
        <v>361</v>
      </c>
      <c r="E549" s="121">
        <v>1987</v>
      </c>
      <c r="F549" s="121">
        <v>2016</v>
      </c>
      <c r="G549" s="121" t="s">
        <v>83</v>
      </c>
      <c r="H549" s="121">
        <v>5</v>
      </c>
      <c r="I549" s="121">
        <v>5</v>
      </c>
      <c r="J549" s="107">
        <v>7155.6</v>
      </c>
      <c r="K549" s="107">
        <v>5789.5</v>
      </c>
      <c r="L549" s="107">
        <v>194.7</v>
      </c>
      <c r="M549" s="122">
        <v>243</v>
      </c>
      <c r="N549" s="123">
        <f t="shared" si="190"/>
        <v>46708832.637054741</v>
      </c>
      <c r="O549" s="107"/>
      <c r="P549" s="108">
        <v>5155802.1643344508</v>
      </c>
      <c r="Q549" s="108"/>
      <c r="R549" s="108">
        <f t="shared" si="191"/>
        <v>3546652.9</v>
      </c>
      <c r="S549" s="108">
        <f>+AS549</f>
        <v>22244040</v>
      </c>
      <c r="T549" s="108">
        <f>+'Приложение №2'!E549-'Приложение №1'!P549-'Приложение №1'!R549-'Приложение №1'!S549</f>
        <v>15762337.572720289</v>
      </c>
      <c r="U549" s="108">
        <f t="shared" si="192"/>
        <v>8067.8526016158112</v>
      </c>
      <c r="V549" s="108">
        <v>1235.2830200640001</v>
      </c>
      <c r="W549" s="135">
        <v>2024</v>
      </c>
      <c r="X549" s="28" t="e">
        <f>+#REF!-'[1]Приложение №1'!$P971</f>
        <v>#REF!</v>
      </c>
      <c r="Z549" s="30">
        <f t="shared" si="194"/>
        <v>41277450.38367226</v>
      </c>
      <c r="AA549" s="26">
        <v>11858561.038653761</v>
      </c>
      <c r="AB549" s="26">
        <v>0</v>
      </c>
      <c r="AC549" s="26">
        <v>0</v>
      </c>
      <c r="AD549" s="26">
        <v>4785667.3703647591</v>
      </c>
      <c r="AE549" s="26">
        <v>0</v>
      </c>
      <c r="AF549" s="26"/>
      <c r="AG549" s="26">
        <v>0</v>
      </c>
      <c r="AH549" s="26">
        <v>0</v>
      </c>
      <c r="AI549" s="26">
        <v>19618197.919447646</v>
      </c>
      <c r="AJ549" s="26">
        <v>0</v>
      </c>
      <c r="AK549" s="26">
        <v>0</v>
      </c>
      <c r="AL549" s="26">
        <v>0</v>
      </c>
      <c r="AM549" s="26">
        <v>3809263.7313926965</v>
      </c>
      <c r="AN549" s="31">
        <v>412774.50383672258</v>
      </c>
      <c r="AO549" s="32">
        <v>792985.81997667684</v>
      </c>
      <c r="AP549" s="77">
        <f>+N549-'Приложение №2'!E549</f>
        <v>0</v>
      </c>
      <c r="AQ549" s="1">
        <v>2916405.1</v>
      </c>
      <c r="AR549" s="1">
        <f>+(K549*10+L549*20)*12*0.85</f>
        <v>630247.79999999993</v>
      </c>
      <c r="AS549" s="1">
        <f>+(K549*10+L549*20)*12*30</f>
        <v>22244040</v>
      </c>
      <c r="AT549" s="28">
        <f t="shared" si="193"/>
        <v>0</v>
      </c>
      <c r="AU549" s="28">
        <f>+P549-'[6]Приложение №1'!$P519</f>
        <v>0</v>
      </c>
      <c r="AV549" s="28">
        <f>+Q549-'[6]Приложение №1'!$Q519</f>
        <v>0</v>
      </c>
      <c r="AW549" s="28">
        <f>+R549-'[6]Приложение №1'!$R519</f>
        <v>0</v>
      </c>
      <c r="AX549" s="28">
        <f>+S549-'[6]Приложение №1'!$S519</f>
        <v>0</v>
      </c>
      <c r="AY549" s="28">
        <f>+T549-'[6]Приложение №1'!$T519</f>
        <v>492326.58379190415</v>
      </c>
    </row>
    <row r="550" spans="1:51" x14ac:dyDescent="0.25">
      <c r="A550" s="139">
        <f t="shared" si="195"/>
        <v>531</v>
      </c>
      <c r="B550" s="140">
        <f t="shared" si="196"/>
        <v>69</v>
      </c>
      <c r="C550" s="120" t="s">
        <v>81</v>
      </c>
      <c r="D550" s="120" t="s">
        <v>362</v>
      </c>
      <c r="E550" s="121">
        <v>1995</v>
      </c>
      <c r="F550" s="121">
        <v>1995</v>
      </c>
      <c r="G550" s="121" t="s">
        <v>83</v>
      </c>
      <c r="H550" s="121">
        <v>5</v>
      </c>
      <c r="I550" s="121">
        <v>6</v>
      </c>
      <c r="J550" s="107">
        <v>5276.5</v>
      </c>
      <c r="K550" s="107">
        <v>4687.3999999999996</v>
      </c>
      <c r="L550" s="107">
        <v>0</v>
      </c>
      <c r="M550" s="122">
        <v>200</v>
      </c>
      <c r="N550" s="123">
        <f t="shared" si="190"/>
        <v>3627706.1305964547</v>
      </c>
      <c r="O550" s="107"/>
      <c r="P550" s="108"/>
      <c r="Q550" s="108"/>
      <c r="R550" s="108">
        <f t="shared" si="191"/>
        <v>2653756.7599999998</v>
      </c>
      <c r="S550" s="108">
        <f>+'Приложение №2'!E550-'Приложение №1'!R550</f>
        <v>973949.37059645494</v>
      </c>
      <c r="T550" s="108">
        <v>0</v>
      </c>
      <c r="U550" s="108">
        <f t="shared" si="192"/>
        <v>773.927151639812</v>
      </c>
      <c r="V550" s="108">
        <v>1236.2830200640001</v>
      </c>
      <c r="W550" s="135">
        <v>2024</v>
      </c>
      <c r="X550" s="28" t="e">
        <f>+#REF!-'[1]Приложение №1'!$P604</f>
        <v>#REF!</v>
      </c>
      <c r="Z550" s="30">
        <f t="shared" si="194"/>
        <v>26420103.173131198</v>
      </c>
      <c r="AA550" s="26">
        <v>0</v>
      </c>
      <c r="AB550" s="26">
        <v>0</v>
      </c>
      <c r="AC550" s="26">
        <v>3550073.2194016906</v>
      </c>
      <c r="AD550" s="26">
        <v>0</v>
      </c>
      <c r="AE550" s="26">
        <v>0</v>
      </c>
      <c r="AF550" s="26"/>
      <c r="AG550" s="26">
        <v>0</v>
      </c>
      <c r="AH550" s="26">
        <v>0</v>
      </c>
      <c r="AI550" s="26">
        <v>0</v>
      </c>
      <c r="AJ550" s="26">
        <v>0</v>
      </c>
      <c r="AK550" s="26">
        <v>19460621.319649618</v>
      </c>
      <c r="AL550" s="26">
        <v>0</v>
      </c>
      <c r="AM550" s="26">
        <v>2642010.3173131198</v>
      </c>
      <c r="AN550" s="31">
        <v>264201.03173131199</v>
      </c>
      <c r="AO550" s="32">
        <v>503197.28503545688</v>
      </c>
      <c r="AP550" s="77">
        <f>+N550-'Приложение №2'!E550</f>
        <v>0</v>
      </c>
      <c r="AQ550" s="1">
        <v>2175641.96</v>
      </c>
      <c r="AR550" s="1">
        <f>+(K550*10+L550*20)*12*0.85</f>
        <v>478114.8</v>
      </c>
      <c r="AS550" s="1">
        <f>+(K550*10+L550*20)*12*30</f>
        <v>16874640</v>
      </c>
      <c r="AT550" s="28">
        <f t="shared" si="193"/>
        <v>-15900690.629403545</v>
      </c>
      <c r="AU550" s="28">
        <f>+P550-'[6]Приложение №1'!$P520</f>
        <v>0</v>
      </c>
      <c r="AV550" s="28">
        <f>+Q550-'[6]Приложение №1'!$Q520</f>
        <v>0</v>
      </c>
      <c r="AW550" s="28">
        <f>+R550-'[6]Приложение №1'!$R520</f>
        <v>0</v>
      </c>
      <c r="AX550" s="28">
        <f>+S550-'[6]Приложение №1'!$S520</f>
        <v>0</v>
      </c>
      <c r="AY550" s="28">
        <f>+T550-'[6]Приложение №1'!$T520</f>
        <v>0</v>
      </c>
    </row>
    <row r="551" spans="1:51" x14ac:dyDescent="0.25">
      <c r="A551" s="139">
        <f t="shared" si="195"/>
        <v>532</v>
      </c>
      <c r="B551" s="140">
        <f t="shared" si="196"/>
        <v>70</v>
      </c>
      <c r="C551" s="120" t="s">
        <v>81</v>
      </c>
      <c r="D551" s="120" t="s">
        <v>228</v>
      </c>
      <c r="E551" s="121">
        <v>1993</v>
      </c>
      <c r="F551" s="121">
        <v>2017</v>
      </c>
      <c r="G551" s="121" t="s">
        <v>83</v>
      </c>
      <c r="H551" s="121">
        <v>9</v>
      </c>
      <c r="I551" s="121">
        <v>2</v>
      </c>
      <c r="J551" s="107">
        <v>6530.5</v>
      </c>
      <c r="K551" s="107">
        <v>5640.1</v>
      </c>
      <c r="L551" s="107">
        <v>180</v>
      </c>
      <c r="M551" s="122">
        <v>226</v>
      </c>
      <c r="N551" s="123">
        <f t="shared" si="190"/>
        <v>39683829.239116445</v>
      </c>
      <c r="O551" s="107"/>
      <c r="P551" s="108">
        <v>2102054.094579109</v>
      </c>
      <c r="Q551" s="108"/>
      <c r="R551" s="108">
        <f t="shared" si="191"/>
        <v>4320165.2457999997</v>
      </c>
      <c r="S551" s="108">
        <f>+AS551</f>
        <v>28443790.440000005</v>
      </c>
      <c r="T551" s="108">
        <f>+'Приложение №2'!E551-'Приложение №1'!P551-'Приложение №1'!R551-'Приложение №1'!S551</f>
        <v>4817819.4587373249</v>
      </c>
      <c r="U551" s="108">
        <f t="shared" si="192"/>
        <v>7036.0151839712844</v>
      </c>
      <c r="V551" s="108">
        <v>1237.2830200640001</v>
      </c>
      <c r="W551" s="135">
        <v>2024</v>
      </c>
      <c r="X551" s="28" t="e">
        <f>+#REF!-'[1]Приложение №1'!$P975</f>
        <v>#REF!</v>
      </c>
      <c r="Z551" s="30">
        <f t="shared" si="194"/>
        <v>39857867.97911644</v>
      </c>
      <c r="AA551" s="26">
        <v>0</v>
      </c>
      <c r="AB551" s="26">
        <v>0</v>
      </c>
      <c r="AC551" s="26">
        <v>0</v>
      </c>
      <c r="AD551" s="26">
        <v>0</v>
      </c>
      <c r="AE551" s="26">
        <v>0</v>
      </c>
      <c r="AF551" s="26"/>
      <c r="AG551" s="26">
        <v>0</v>
      </c>
      <c r="AH551" s="26">
        <v>0</v>
      </c>
      <c r="AI551" s="26">
        <v>0</v>
      </c>
      <c r="AJ551" s="26">
        <v>0</v>
      </c>
      <c r="AK551" s="26">
        <v>38834595.293399349</v>
      </c>
      <c r="AL551" s="26">
        <v>0</v>
      </c>
      <c r="AM551" s="26">
        <v>150038.74</v>
      </c>
      <c r="AN551" s="26">
        <v>24000</v>
      </c>
      <c r="AO551" s="32">
        <v>849233.9457170919</v>
      </c>
      <c r="AP551" s="77">
        <f>+N551-'Приложение №2'!E551</f>
        <v>0</v>
      </c>
      <c r="AQ551" s="1">
        <v>3514257.85</v>
      </c>
      <c r="AR551" s="1">
        <f>+(K551*13.29+L551*22.52)*12*0.85</f>
        <v>805907.39580000006</v>
      </c>
      <c r="AS551" s="1">
        <f>+(K551*13.29+L551*22.52)*12*30</f>
        <v>28443790.440000005</v>
      </c>
      <c r="AT551" s="28">
        <f t="shared" si="193"/>
        <v>0</v>
      </c>
      <c r="AU551" s="28">
        <f>+P551-'[6]Приложение №1'!$P521</f>
        <v>0</v>
      </c>
      <c r="AV551" s="28">
        <f>+Q551-'[6]Приложение №1'!$Q521</f>
        <v>0</v>
      </c>
      <c r="AW551" s="28">
        <f>+R551-'[6]Приложение №1'!$R521</f>
        <v>0</v>
      </c>
      <c r="AX551" s="28">
        <f>+S551-'[6]Приложение №1'!$S521</f>
        <v>0</v>
      </c>
      <c r="AY551" s="28">
        <f>+T551-'[6]Приложение №1'!$T521</f>
        <v>0</v>
      </c>
    </row>
    <row r="552" spans="1:51" x14ac:dyDescent="0.25">
      <c r="A552" s="139">
        <f t="shared" si="195"/>
        <v>533</v>
      </c>
      <c r="B552" s="140">
        <f t="shared" si="196"/>
        <v>71</v>
      </c>
      <c r="C552" s="120" t="s">
        <v>81</v>
      </c>
      <c r="D552" s="120" t="s">
        <v>204</v>
      </c>
      <c r="E552" s="121">
        <v>1989</v>
      </c>
      <c r="F552" s="121">
        <v>2016</v>
      </c>
      <c r="G552" s="121" t="s">
        <v>83</v>
      </c>
      <c r="H552" s="121">
        <v>5</v>
      </c>
      <c r="I552" s="121">
        <v>8</v>
      </c>
      <c r="J552" s="107">
        <v>7135.2</v>
      </c>
      <c r="K552" s="107">
        <v>6073.2</v>
      </c>
      <c r="L552" s="107">
        <v>1062</v>
      </c>
      <c r="M552" s="122">
        <v>253</v>
      </c>
      <c r="N552" s="123">
        <f t="shared" si="190"/>
        <v>28688048.331907835</v>
      </c>
      <c r="O552" s="107"/>
      <c r="P552" s="108"/>
      <c r="Q552" s="108"/>
      <c r="R552" s="108">
        <f t="shared" si="191"/>
        <v>3724080.84</v>
      </c>
      <c r="S552" s="108">
        <f>+'Приложение №2'!E552-'Приложение №1'!R552</f>
        <v>24963967.491907835</v>
      </c>
      <c r="T552" s="108">
        <f>+'Приложение №2'!E552-'Приложение №1'!P552-'Приложение №1'!R552-'Приложение №1'!S552</f>
        <v>0</v>
      </c>
      <c r="U552" s="108">
        <f t="shared" si="192"/>
        <v>4723.7121010188757</v>
      </c>
      <c r="V552" s="108">
        <v>1238.2830200640001</v>
      </c>
      <c r="W552" s="135">
        <v>2024</v>
      </c>
      <c r="X552" s="28" t="e">
        <f>+#REF!-'[1]Приложение №1'!$P977</f>
        <v>#REF!</v>
      </c>
      <c r="Z552" s="30">
        <f t="shared" si="194"/>
        <v>28889172.431907836</v>
      </c>
      <c r="AA552" s="26">
        <v>0</v>
      </c>
      <c r="AB552" s="26">
        <v>0</v>
      </c>
      <c r="AC552" s="26">
        <v>0</v>
      </c>
      <c r="AD552" s="26">
        <v>0</v>
      </c>
      <c r="AE552" s="26">
        <v>0</v>
      </c>
      <c r="AF552" s="26"/>
      <c r="AG552" s="26">
        <v>0</v>
      </c>
      <c r="AH552" s="26">
        <v>0</v>
      </c>
      <c r="AI552" s="26">
        <v>0</v>
      </c>
      <c r="AJ552" s="26">
        <v>0</v>
      </c>
      <c r="AK552" s="26">
        <v>28074124.097605009</v>
      </c>
      <c r="AL552" s="26">
        <v>0</v>
      </c>
      <c r="AM552" s="26">
        <v>177124.1</v>
      </c>
      <c r="AN552" s="26">
        <v>24000</v>
      </c>
      <c r="AO552" s="32">
        <v>613924.23430282774</v>
      </c>
      <c r="AP552" s="77">
        <f>+N552-'Приложение №2'!E552</f>
        <v>0</v>
      </c>
      <c r="AQ552" s="1">
        <v>2887966.44</v>
      </c>
      <c r="AR552" s="1">
        <f>+(K552*10+L552*20)*12*0.85</f>
        <v>836114.4</v>
      </c>
      <c r="AS552" s="1">
        <f>+(K552*10+L552*20)*12*30</f>
        <v>29509920</v>
      </c>
      <c r="AT552" s="28">
        <f t="shared" si="193"/>
        <v>-4545952.508092165</v>
      </c>
      <c r="AU552" s="28">
        <f>+P552-'[6]Приложение №1'!$P522</f>
        <v>0</v>
      </c>
      <c r="AV552" s="28">
        <f>+Q552-'[6]Приложение №1'!$Q522</f>
        <v>0</v>
      </c>
      <c r="AW552" s="28">
        <f>+R552-'[6]Приложение №1'!$R522</f>
        <v>0</v>
      </c>
      <c r="AX552" s="28">
        <f>+S552-'[6]Приложение №1'!$S522</f>
        <v>0</v>
      </c>
      <c r="AY552" s="28">
        <f>+T552-'[6]Приложение №1'!$T522</f>
        <v>0</v>
      </c>
    </row>
    <row r="553" spans="1:51" x14ac:dyDescent="0.25">
      <c r="A553" s="139">
        <f t="shared" si="195"/>
        <v>534</v>
      </c>
      <c r="B553" s="140">
        <f t="shared" si="196"/>
        <v>72</v>
      </c>
      <c r="C553" s="120" t="s">
        <v>81</v>
      </c>
      <c r="D553" s="120" t="s">
        <v>363</v>
      </c>
      <c r="E553" s="121">
        <v>1991</v>
      </c>
      <c r="F553" s="121">
        <v>2017</v>
      </c>
      <c r="G553" s="121" t="s">
        <v>83</v>
      </c>
      <c r="H553" s="121">
        <v>9</v>
      </c>
      <c r="I553" s="121">
        <v>1</v>
      </c>
      <c r="J553" s="107">
        <v>3222.4</v>
      </c>
      <c r="K553" s="107">
        <v>2756.2</v>
      </c>
      <c r="L553" s="107">
        <v>0</v>
      </c>
      <c r="M553" s="122">
        <v>108</v>
      </c>
      <c r="N553" s="123">
        <f t="shared" si="190"/>
        <v>19753554.68231567</v>
      </c>
      <c r="O553" s="107"/>
      <c r="P553" s="108">
        <v>1002935.5173789167</v>
      </c>
      <c r="Q553" s="108"/>
      <c r="R553" s="108">
        <f t="shared" si="191"/>
        <v>2144471.5296</v>
      </c>
      <c r="S553" s="108">
        <f>+AS553</f>
        <v>13186763.279999999</v>
      </c>
      <c r="T553" s="108">
        <f>+'Приложение №2'!E553-'Приложение №1'!P553-'Приложение №1'!R553-'Приложение №1'!S553</f>
        <v>3419384.3553367518</v>
      </c>
      <c r="U553" s="108">
        <f t="shared" si="192"/>
        <v>7166.9525732224338</v>
      </c>
      <c r="V553" s="108">
        <v>1239.2830200640001</v>
      </c>
      <c r="W553" s="135">
        <v>2024</v>
      </c>
      <c r="X553" s="28" t="e">
        <f>+#REF!-'[1]Приложение №1'!$P978</f>
        <v>#REF!</v>
      </c>
      <c r="Z553" s="30">
        <f t="shared" si="194"/>
        <v>19471909.912315667</v>
      </c>
      <c r="AA553" s="26">
        <v>0</v>
      </c>
      <c r="AB553" s="26">
        <v>0</v>
      </c>
      <c r="AC553" s="26">
        <v>0</v>
      </c>
      <c r="AD553" s="26">
        <v>0</v>
      </c>
      <c r="AE553" s="26">
        <v>0</v>
      </c>
      <c r="AF553" s="26"/>
      <c r="AG553" s="26">
        <v>0</v>
      </c>
      <c r="AH553" s="26">
        <v>0</v>
      </c>
      <c r="AI553" s="26">
        <v>0</v>
      </c>
      <c r="AJ553" s="26">
        <v>0</v>
      </c>
      <c r="AK553" s="26">
        <v>18930963.042262111</v>
      </c>
      <c r="AL553" s="26">
        <v>0</v>
      </c>
      <c r="AM553" s="26">
        <v>102965.05</v>
      </c>
      <c r="AN553" s="26">
        <v>24000</v>
      </c>
      <c r="AO553" s="32">
        <v>413981.8200535553</v>
      </c>
      <c r="AP553" s="77">
        <f>+N553-'Приложение №2'!E553</f>
        <v>0</v>
      </c>
      <c r="AQ553" s="1">
        <v>1770846.57</v>
      </c>
      <c r="AR553" s="1">
        <f>+(K553*13.29+L553*22.52)*12*0.85</f>
        <v>373624.95959999994</v>
      </c>
      <c r="AS553" s="1">
        <f>+(K553*13.29+L553*22.52)*12*30</f>
        <v>13186763.279999999</v>
      </c>
      <c r="AT553" s="28">
        <f t="shared" si="193"/>
        <v>0</v>
      </c>
      <c r="AU553" s="28">
        <f>+P553-'[6]Приложение №1'!$P523</f>
        <v>0</v>
      </c>
      <c r="AV553" s="28">
        <f>+Q553-'[6]Приложение №1'!$Q523</f>
        <v>0</v>
      </c>
      <c r="AW553" s="28">
        <f>+R553-'[6]Приложение №1'!$R523</f>
        <v>0</v>
      </c>
      <c r="AX553" s="28">
        <f>+S553-'[6]Приложение №1'!$S523</f>
        <v>0</v>
      </c>
      <c r="AY553" s="28">
        <f>+T553-'[6]Приложение №1'!$T523</f>
        <v>0</v>
      </c>
    </row>
    <row r="554" spans="1:51" x14ac:dyDescent="0.25">
      <c r="A554" s="139">
        <f t="shared" si="195"/>
        <v>535</v>
      </c>
      <c r="B554" s="140">
        <f t="shared" si="196"/>
        <v>73</v>
      </c>
      <c r="C554" s="120" t="s">
        <v>81</v>
      </c>
      <c r="D554" s="120" t="s">
        <v>364</v>
      </c>
      <c r="E554" s="121">
        <v>1991</v>
      </c>
      <c r="F554" s="121">
        <v>2010</v>
      </c>
      <c r="G554" s="121" t="s">
        <v>83</v>
      </c>
      <c r="H554" s="121">
        <v>5</v>
      </c>
      <c r="I554" s="121">
        <v>5</v>
      </c>
      <c r="J554" s="107">
        <v>4721.8999999999996</v>
      </c>
      <c r="K554" s="107">
        <v>4156.5</v>
      </c>
      <c r="L554" s="107">
        <v>0</v>
      </c>
      <c r="M554" s="122">
        <v>161</v>
      </c>
      <c r="N554" s="123">
        <f t="shared" si="190"/>
        <v>15386256.559124511</v>
      </c>
      <c r="O554" s="107"/>
      <c r="P554" s="108"/>
      <c r="Q554" s="108"/>
      <c r="R554" s="108">
        <f t="shared" si="191"/>
        <v>2445791.54</v>
      </c>
      <c r="S554" s="108">
        <f>+'Приложение №2'!E554-'Приложение №1'!R554</f>
        <v>12940465.019124512</v>
      </c>
      <c r="T554" s="108">
        <v>4.6566128730773926E-10</v>
      </c>
      <c r="U554" s="108">
        <f t="shared" si="192"/>
        <v>3701.7338046732852</v>
      </c>
      <c r="V554" s="108">
        <v>1240.2830200640001</v>
      </c>
      <c r="W554" s="135">
        <v>2024</v>
      </c>
      <c r="X554" s="28" t="e">
        <f>+#REF!-'[1]Приложение №1'!$P1361</f>
        <v>#REF!</v>
      </c>
      <c r="Z554" s="30">
        <f t="shared" si="194"/>
        <v>13211921.58052516</v>
      </c>
      <c r="AA554" s="26">
        <v>8244815.9026870374</v>
      </c>
      <c r="AB554" s="26">
        <v>0</v>
      </c>
      <c r="AC554" s="26">
        <v>0</v>
      </c>
      <c r="AD554" s="26">
        <v>3327296.3145816172</v>
      </c>
      <c r="AE554" s="26">
        <v>0</v>
      </c>
      <c r="AF554" s="26"/>
      <c r="AG554" s="26">
        <v>0</v>
      </c>
      <c r="AH554" s="26">
        <v>0</v>
      </c>
      <c r="AI554" s="26">
        <v>0</v>
      </c>
      <c r="AJ554" s="26">
        <v>0</v>
      </c>
      <c r="AK554" s="26">
        <v>0</v>
      </c>
      <c r="AL554" s="26">
        <v>0</v>
      </c>
      <c r="AM554" s="26">
        <v>1254631.4907482606</v>
      </c>
      <c r="AN554" s="31">
        <v>132119.21580525159</v>
      </c>
      <c r="AO554" s="32">
        <v>253058.65670299329</v>
      </c>
      <c r="AP554" s="77">
        <f>+N554-'Приложение №2'!E554</f>
        <v>0</v>
      </c>
      <c r="AQ554" s="1">
        <v>2021828.54</v>
      </c>
      <c r="AR554" s="1">
        <f>+(K554*10+L554*20)*12*0.85</f>
        <v>423963</v>
      </c>
      <c r="AS554" s="1">
        <f>+(K554*10+L554*20)*12*30</f>
        <v>14963400</v>
      </c>
      <c r="AT554" s="28">
        <f t="shared" si="193"/>
        <v>-2022934.9808754884</v>
      </c>
      <c r="AU554" s="28">
        <f>+P554-'[6]Приложение №1'!$P524</f>
        <v>0</v>
      </c>
      <c r="AV554" s="28">
        <f>+Q554-'[6]Приложение №1'!$Q524</f>
        <v>0</v>
      </c>
      <c r="AW554" s="28">
        <f>+R554-'[6]Приложение №1'!$R524</f>
        <v>0</v>
      </c>
      <c r="AX554" s="28">
        <f>+S554-'[6]Приложение №1'!$S524</f>
        <v>341959.73489038646</v>
      </c>
      <c r="AY554" s="28">
        <f>+T554-'[6]Приложение №1'!$T524</f>
        <v>0</v>
      </c>
    </row>
    <row r="555" spans="1:51" x14ac:dyDescent="0.25">
      <c r="A555" s="139">
        <f t="shared" si="195"/>
        <v>536</v>
      </c>
      <c r="B555" s="140">
        <f t="shared" si="196"/>
        <v>74</v>
      </c>
      <c r="C555" s="120" t="s">
        <v>81</v>
      </c>
      <c r="D555" s="120" t="s">
        <v>365</v>
      </c>
      <c r="E555" s="121">
        <v>1991</v>
      </c>
      <c r="F555" s="121">
        <v>1999</v>
      </c>
      <c r="G555" s="121" t="s">
        <v>43</v>
      </c>
      <c r="H555" s="121">
        <v>2</v>
      </c>
      <c r="I555" s="121">
        <v>8</v>
      </c>
      <c r="J555" s="107">
        <v>1042.9000000000001</v>
      </c>
      <c r="K555" s="107">
        <v>988.8</v>
      </c>
      <c r="L555" s="107">
        <v>54.1</v>
      </c>
      <c r="M555" s="122">
        <v>39</v>
      </c>
      <c r="N555" s="123">
        <f t="shared" si="190"/>
        <v>9909590.6884000003</v>
      </c>
      <c r="O555" s="107"/>
      <c r="P555" s="108">
        <v>1714925.7675000001</v>
      </c>
      <c r="Q555" s="108"/>
      <c r="R555" s="108">
        <f t="shared" si="191"/>
        <v>552771.29</v>
      </c>
      <c r="S555" s="108">
        <f>+AS555</f>
        <v>3949200</v>
      </c>
      <c r="T555" s="108">
        <f>+'Приложение №2'!E555-'Приложение №1'!P555-'Приложение №1'!R555-'Приложение №1'!S555</f>
        <v>3692693.6309000002</v>
      </c>
      <c r="U555" s="108">
        <f t="shared" si="192"/>
        <v>10021.835243122978</v>
      </c>
      <c r="V555" s="108">
        <v>1242.2830200640001</v>
      </c>
      <c r="W555" s="135">
        <v>2024</v>
      </c>
      <c r="X555" s="28" t="e">
        <f>+#REF!-'[1]Приложение №1'!$P606</f>
        <v>#REF!</v>
      </c>
      <c r="Z555" s="30">
        <f t="shared" si="194"/>
        <v>11134371.560000001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  <c r="AF555" s="26"/>
      <c r="AG555" s="26">
        <v>0</v>
      </c>
      <c r="AH555" s="26">
        <v>0</v>
      </c>
      <c r="AI555" s="26">
        <v>0</v>
      </c>
      <c r="AJ555" s="26">
        <v>0</v>
      </c>
      <c r="AK555" s="26">
        <v>9697525.4476682395</v>
      </c>
      <c r="AL555" s="26">
        <v>0</v>
      </c>
      <c r="AM555" s="26">
        <v>1113437.1560000002</v>
      </c>
      <c r="AN555" s="31">
        <v>111343.71560000001</v>
      </c>
      <c r="AO555" s="32">
        <v>212065.24073176002</v>
      </c>
      <c r="AP555" s="77">
        <f>+N555-'Приложение №2'!E555</f>
        <v>0</v>
      </c>
      <c r="AQ555" s="1">
        <v>440877.29</v>
      </c>
      <c r="AR555" s="1">
        <f>+(K555*10+L555*20)*12*0.85</f>
        <v>111894</v>
      </c>
      <c r="AS555" s="1">
        <f>+(K555*10+L555*20)*12*30</f>
        <v>3949200</v>
      </c>
      <c r="AT555" s="28">
        <f t="shared" si="193"/>
        <v>0</v>
      </c>
      <c r="AU555" s="28">
        <f>+P555-'[6]Приложение №1'!$P525</f>
        <v>0</v>
      </c>
      <c r="AV555" s="28">
        <f>+Q555-'[6]Приложение №1'!$Q525</f>
        <v>0</v>
      </c>
      <c r="AW555" s="28">
        <f>+R555-'[6]Приложение №1'!$R525</f>
        <v>0</v>
      </c>
      <c r="AX555" s="28">
        <f>+S555-'[6]Приложение №1'!$S525</f>
        <v>0</v>
      </c>
      <c r="AY555" s="28">
        <f>+T555-'[6]Приложение №1'!$T525</f>
        <v>0</v>
      </c>
    </row>
    <row r="556" spans="1:51" x14ac:dyDescent="0.25">
      <c r="A556" s="139">
        <f t="shared" si="195"/>
        <v>537</v>
      </c>
      <c r="B556" s="140">
        <f t="shared" si="196"/>
        <v>75</v>
      </c>
      <c r="C556" s="120" t="s">
        <v>81</v>
      </c>
      <c r="D556" s="120" t="s">
        <v>205</v>
      </c>
      <c r="E556" s="121">
        <v>1991</v>
      </c>
      <c r="F556" s="121">
        <v>2017</v>
      </c>
      <c r="G556" s="121" t="s">
        <v>83</v>
      </c>
      <c r="H556" s="121">
        <v>9</v>
      </c>
      <c r="I556" s="121">
        <v>1</v>
      </c>
      <c r="J556" s="107">
        <v>3271</v>
      </c>
      <c r="K556" s="107">
        <v>2814.6</v>
      </c>
      <c r="L556" s="107">
        <v>0</v>
      </c>
      <c r="M556" s="122">
        <v>93</v>
      </c>
      <c r="N556" s="123">
        <f t="shared" si="190"/>
        <v>9825604.9005436506</v>
      </c>
      <c r="O556" s="107"/>
      <c r="P556" s="108"/>
      <c r="Q556" s="108"/>
      <c r="R556" s="108">
        <f t="shared" si="191"/>
        <v>2112725.9468</v>
      </c>
      <c r="S556" s="108">
        <f>+'Приложение №2'!E556-'Приложение №1'!R556</f>
        <v>7712878.9537436506</v>
      </c>
      <c r="T556" s="108">
        <v>0</v>
      </c>
      <c r="U556" s="108">
        <f t="shared" si="192"/>
        <v>3490.9418391756026</v>
      </c>
      <c r="V556" s="108">
        <v>1243.2830200640001</v>
      </c>
      <c r="W556" s="135">
        <v>2024</v>
      </c>
      <c r="X556" s="28" t="e">
        <f>+#REF!-'[1]Приложение №1'!$P980</f>
        <v>#REF!</v>
      </c>
      <c r="Z556" s="30">
        <f t="shared" si="194"/>
        <v>12536948.214155663</v>
      </c>
      <c r="AA556" s="26">
        <v>6765674.3157313084</v>
      </c>
      <c r="AB556" s="26">
        <v>2706914.9973932039</v>
      </c>
      <c r="AC556" s="26">
        <v>0</v>
      </c>
      <c r="AD556" s="26">
        <v>1277658.2356249997</v>
      </c>
      <c r="AE556" s="26">
        <v>0</v>
      </c>
      <c r="AF556" s="26"/>
      <c r="AG556" s="26">
        <v>300589.46674277715</v>
      </c>
      <c r="AH556" s="26">
        <v>0</v>
      </c>
      <c r="AI556" s="26">
        <v>0</v>
      </c>
      <c r="AJ556" s="26">
        <v>0</v>
      </c>
      <c r="AK556" s="26">
        <v>0</v>
      </c>
      <c r="AL556" s="26">
        <v>0</v>
      </c>
      <c r="AM556" s="26">
        <v>1119082.2927209453</v>
      </c>
      <c r="AN556" s="31">
        <v>125369.48214155665</v>
      </c>
      <c r="AO556" s="32">
        <v>241659.42380087369</v>
      </c>
      <c r="AP556" s="77">
        <f>+N556-'Приложение №2'!E556</f>
        <v>0</v>
      </c>
      <c r="AQ556" s="1">
        <v>1731184.4</v>
      </c>
      <c r="AR556" s="1">
        <f t="shared" ref="AR556:AR561" si="197">+(K556*13.29+L556*22.52)*12*0.85</f>
        <v>381541.54680000001</v>
      </c>
      <c r="AS556" s="1">
        <f>+(K556*13.29+L556*22.52)*12*30</f>
        <v>13466172.24</v>
      </c>
      <c r="AT556" s="28">
        <f t="shared" si="193"/>
        <v>-5753293.2862563496</v>
      </c>
      <c r="AU556" s="28">
        <f>+P556-'[6]Приложение №1'!$P526</f>
        <v>0</v>
      </c>
      <c r="AV556" s="28">
        <f>+Q556-'[6]Приложение №1'!$Q526</f>
        <v>0</v>
      </c>
      <c r="AW556" s="28">
        <f>+R556-'[6]Приложение №1'!$R526</f>
        <v>0</v>
      </c>
      <c r="AX556" s="28">
        <f>+S556-'[6]Приложение №1'!$S526</f>
        <v>0</v>
      </c>
      <c r="AY556" s="28">
        <f>+T556-'[6]Приложение №1'!$T526</f>
        <v>0</v>
      </c>
    </row>
    <row r="557" spans="1:51" x14ac:dyDescent="0.25">
      <c r="A557" s="139">
        <f t="shared" si="195"/>
        <v>538</v>
      </c>
      <c r="B557" s="140">
        <f t="shared" si="196"/>
        <v>76</v>
      </c>
      <c r="C557" s="120" t="s">
        <v>81</v>
      </c>
      <c r="D557" s="120" t="s">
        <v>296</v>
      </c>
      <c r="E557" s="121">
        <v>1992</v>
      </c>
      <c r="F557" s="121">
        <v>2009</v>
      </c>
      <c r="G557" s="121" t="s">
        <v>83</v>
      </c>
      <c r="H557" s="121">
        <v>9</v>
      </c>
      <c r="I557" s="121">
        <v>1</v>
      </c>
      <c r="J557" s="107">
        <v>3320.9</v>
      </c>
      <c r="K557" s="107">
        <v>2870.8</v>
      </c>
      <c r="L557" s="107">
        <v>0</v>
      </c>
      <c r="M557" s="122">
        <v>115</v>
      </c>
      <c r="N557" s="123">
        <f t="shared" si="190"/>
        <v>14643806.054135866</v>
      </c>
      <c r="O557" s="107"/>
      <c r="P557" s="108">
        <f>+'Приложение №2'!E557-'Приложение №1'!R557-'Приложение №1'!S557</f>
        <v>3559708.8377358671</v>
      </c>
      <c r="Q557" s="108"/>
      <c r="R557" s="108">
        <f>+AR557</f>
        <v>389159.90639999998</v>
      </c>
      <c r="S557" s="108">
        <f>+AS557-3040118.21</f>
        <v>10694937.309999999</v>
      </c>
      <c r="T557" s="108"/>
      <c r="U557" s="108">
        <f t="shared" si="192"/>
        <v>5100.9495799553661</v>
      </c>
      <c r="V557" s="108">
        <v>1244.2830200640001</v>
      </c>
      <c r="W557" s="135">
        <v>2024</v>
      </c>
      <c r="X557" s="28" t="e">
        <f>+#REF!-'[1]Приложение №1'!$P372</f>
        <v>#REF!</v>
      </c>
      <c r="Z557" s="30">
        <f t="shared" si="194"/>
        <v>14776696.027288169</v>
      </c>
      <c r="AA557" s="26">
        <v>6885723.9998886082</v>
      </c>
      <c r="AB557" s="26">
        <v>2754946.3207044839</v>
      </c>
      <c r="AC557" s="26">
        <v>2034797.5532993053</v>
      </c>
      <c r="AD557" s="26">
        <v>1300328.9200963341</v>
      </c>
      <c r="AE557" s="26">
        <v>0</v>
      </c>
      <c r="AF557" s="26"/>
      <c r="AG557" s="26">
        <v>0</v>
      </c>
      <c r="AH557" s="26">
        <v>0</v>
      </c>
      <c r="AI557" s="26">
        <v>0</v>
      </c>
      <c r="AJ557" s="26">
        <v>0</v>
      </c>
      <c r="AK557" s="26">
        <v>0</v>
      </c>
      <c r="AL557" s="26">
        <v>0</v>
      </c>
      <c r="AM557" s="26">
        <v>1369377.8775724771</v>
      </c>
      <c r="AN557" s="31">
        <v>147766.96027288167</v>
      </c>
      <c r="AO557" s="32">
        <v>283754.39545407612</v>
      </c>
      <c r="AP557" s="77">
        <f>+N557-'Приложение №2'!E557</f>
        <v>0</v>
      </c>
      <c r="AQ557" s="28">
        <f>1773302.69-R53</f>
        <v>-114882.9376605656</v>
      </c>
      <c r="AR557" s="1">
        <f t="shared" si="197"/>
        <v>389159.90639999998</v>
      </c>
      <c r="AS557" s="1">
        <f>+(K557*13.29+L557*22.52)*12*30-S53</f>
        <v>13735055.52</v>
      </c>
      <c r="AT557" s="28">
        <f t="shared" si="193"/>
        <v>-3040118.2100000009</v>
      </c>
      <c r="AU557" s="28">
        <f>+P557-'[6]Приложение №1'!$P527</f>
        <v>305625.0189924445</v>
      </c>
      <c r="AV557" s="28">
        <f>+Q557-'[6]Приложение №1'!$Q527</f>
        <v>0</v>
      </c>
      <c r="AW557" s="28">
        <f>+R557-'[6]Приложение №1'!$R527</f>
        <v>0</v>
      </c>
      <c r="AX557" s="28">
        <f>+S557-'[6]Приложение №1'!$S527</f>
        <v>0</v>
      </c>
      <c r="AY557" s="28">
        <f>+T557-'[6]Приложение №1'!$T527</f>
        <v>0</v>
      </c>
    </row>
    <row r="558" spans="1:51" x14ac:dyDescent="0.25">
      <c r="A558" s="139">
        <f t="shared" si="195"/>
        <v>539</v>
      </c>
      <c r="B558" s="140">
        <f t="shared" si="196"/>
        <v>77</v>
      </c>
      <c r="C558" s="120" t="s">
        <v>136</v>
      </c>
      <c r="D558" s="120" t="s">
        <v>366</v>
      </c>
      <c r="E558" s="121">
        <v>1993</v>
      </c>
      <c r="F558" s="121" t="s">
        <v>79</v>
      </c>
      <c r="G558" s="121" t="s">
        <v>43</v>
      </c>
      <c r="H558" s="121">
        <v>9</v>
      </c>
      <c r="I558" s="121">
        <v>3</v>
      </c>
      <c r="J558" s="107">
        <v>10078.200000000001</v>
      </c>
      <c r="K558" s="107">
        <v>8569.9</v>
      </c>
      <c r="L558" s="107">
        <v>245.1</v>
      </c>
      <c r="M558" s="122">
        <v>295</v>
      </c>
      <c r="N558" s="123">
        <f>SUM(O558:S558)</f>
        <v>9780000</v>
      </c>
      <c r="O558" s="107"/>
      <c r="P558" s="108">
        <f>+'Приложение №2'!E558-'Приложение №1'!R558</f>
        <v>3538238.8867999995</v>
      </c>
      <c r="Q558" s="108">
        <v>0</v>
      </c>
      <c r="R558" s="108">
        <v>6241761.1132000005</v>
      </c>
      <c r="S558" s="111"/>
      <c r="T558" s="111"/>
      <c r="U558" s="108">
        <f t="shared" si="192"/>
        <v>1141.2035146267751</v>
      </c>
      <c r="V558" s="108">
        <v>1245.2830200640001</v>
      </c>
      <c r="W558" s="135">
        <v>2024</v>
      </c>
      <c r="X558" s="28" t="e">
        <f>+#REF!-'[1]Приложение №1'!$P217</f>
        <v>#REF!</v>
      </c>
      <c r="Z558" s="30">
        <f t="shared" si="194"/>
        <v>9780000</v>
      </c>
      <c r="AA558" s="26"/>
      <c r="AB558" s="26"/>
      <c r="AC558" s="26"/>
      <c r="AD558" s="26"/>
      <c r="AE558" s="26"/>
      <c r="AF558" s="26"/>
      <c r="AG558" s="26"/>
      <c r="AH558" s="26">
        <v>9062814.5999999996</v>
      </c>
      <c r="AL558" s="26"/>
      <c r="AM558" s="26">
        <v>489000</v>
      </c>
      <c r="AN558" s="26">
        <v>30000</v>
      </c>
      <c r="AO558" s="26">
        <v>198185.4</v>
      </c>
      <c r="AP558" s="77">
        <f>+N558-'Приложение №2'!E558</f>
        <v>0</v>
      </c>
      <c r="AQ558" s="1">
        <v>2453</v>
      </c>
      <c r="AR558" s="1">
        <f t="shared" si="197"/>
        <v>1218018.9545999998</v>
      </c>
      <c r="AS558" s="1">
        <f>+(K558*13.29+L558*22.52)*12*30</f>
        <v>42988904.279999994</v>
      </c>
      <c r="AT558" s="28">
        <f t="shared" si="193"/>
        <v>-42988904.279999994</v>
      </c>
      <c r="AU558" s="28">
        <f>+P558-'[6]Приложение №1'!$P528</f>
        <v>0</v>
      </c>
      <c r="AV558" s="28">
        <f>+Q558-'[6]Приложение №1'!$Q528</f>
        <v>0</v>
      </c>
      <c r="AW558" s="28">
        <f>+R558-'[6]Приложение №1'!$R528</f>
        <v>0</v>
      </c>
      <c r="AX558" s="28">
        <f>+S558-'[6]Приложение №1'!$S528</f>
        <v>0</v>
      </c>
      <c r="AY558" s="28">
        <f>+T558-'[6]Приложение №1'!$T528</f>
        <v>0</v>
      </c>
    </row>
    <row r="559" spans="1:51" x14ac:dyDescent="0.25">
      <c r="A559" s="139">
        <f t="shared" si="195"/>
        <v>540</v>
      </c>
      <c r="B559" s="140">
        <f t="shared" si="196"/>
        <v>78</v>
      </c>
      <c r="C559" s="120" t="s">
        <v>81</v>
      </c>
      <c r="D559" s="120" t="s">
        <v>367</v>
      </c>
      <c r="E559" s="121">
        <v>1989</v>
      </c>
      <c r="F559" s="121">
        <v>2009</v>
      </c>
      <c r="G559" s="121" t="s">
        <v>83</v>
      </c>
      <c r="H559" s="121">
        <v>9</v>
      </c>
      <c r="I559" s="121">
        <v>1</v>
      </c>
      <c r="J559" s="107">
        <v>3239.5</v>
      </c>
      <c r="K559" s="107">
        <v>2720.9</v>
      </c>
      <c r="L559" s="107">
        <v>63.8</v>
      </c>
      <c r="M559" s="122">
        <v>112</v>
      </c>
      <c r="N559" s="123">
        <f>SUM(O559:T559)</f>
        <v>10733760.156627759</v>
      </c>
      <c r="O559" s="107"/>
      <c r="P559" s="108"/>
      <c r="Q559" s="108"/>
      <c r="R559" s="108">
        <f>+AQ559+AR559</f>
        <v>1949895.9373999999</v>
      </c>
      <c r="S559" s="108">
        <f>+'Приложение №2'!E559-'Приложение №1'!R559</f>
        <v>8783864.2192277592</v>
      </c>
      <c r="T559" s="108">
        <v>4.6566128730773926E-10</v>
      </c>
      <c r="U559" s="108">
        <f t="shared" si="192"/>
        <v>3944.9300439662461</v>
      </c>
      <c r="V559" s="108">
        <v>1246.2830200640001</v>
      </c>
      <c r="W559" s="135">
        <v>2024</v>
      </c>
      <c r="X559" s="28" t="e">
        <f>+#REF!-'[1]Приложение №1'!$P1364</f>
        <v>#REF!</v>
      </c>
      <c r="Z559" s="30">
        <f t="shared" si="194"/>
        <v>10076605.062258013</v>
      </c>
      <c r="AA559" s="26">
        <v>6679650.6897583138</v>
      </c>
      <c r="AB559" s="26">
        <v>0</v>
      </c>
      <c r="AC559" s="26">
        <v>1973900.9116011779</v>
      </c>
      <c r="AD559" s="26">
        <v>0</v>
      </c>
      <c r="AE559" s="26">
        <v>0</v>
      </c>
      <c r="AF559" s="26"/>
      <c r="AG559" s="26">
        <v>296767.5571071952</v>
      </c>
      <c r="AH559" s="26">
        <v>0</v>
      </c>
      <c r="AI559" s="26">
        <v>0</v>
      </c>
      <c r="AJ559" s="26">
        <v>0</v>
      </c>
      <c r="AK559" s="26">
        <v>0</v>
      </c>
      <c r="AL559" s="26">
        <v>0</v>
      </c>
      <c r="AM559" s="26">
        <v>829794.50063330017</v>
      </c>
      <c r="AN559" s="31">
        <v>100766.05062258012</v>
      </c>
      <c r="AO559" s="32">
        <v>195725.35253544565</v>
      </c>
      <c r="AP559" s="77">
        <f>+N559-'Приложение №2'!E559</f>
        <v>0</v>
      </c>
      <c r="AQ559" s="1">
        <v>1566401.06</v>
      </c>
      <c r="AR559" s="1">
        <f t="shared" si="197"/>
        <v>383494.87739999994</v>
      </c>
      <c r="AS559" s="1">
        <f>+(K559*13.29+L559*22.52)*12*30</f>
        <v>13535113.319999998</v>
      </c>
      <c r="AT559" s="28">
        <f t="shared" si="193"/>
        <v>-4751249.1007722393</v>
      </c>
      <c r="AU559" s="28">
        <f>+P559-'[6]Приложение №1'!$P529</f>
        <v>0</v>
      </c>
      <c r="AV559" s="28">
        <f>+Q559-'[6]Приложение №1'!$Q529</f>
        <v>0</v>
      </c>
      <c r="AW559" s="28">
        <f>+R559-'[6]Приложение №1'!$R529</f>
        <v>0</v>
      </c>
      <c r="AX559" s="28">
        <f>+S559-'[6]Приложение №1'!$S529</f>
        <v>296767.55710719526</v>
      </c>
      <c r="AY559" s="28">
        <f>+T559-'[6]Приложение №1'!$T529</f>
        <v>0</v>
      </c>
    </row>
    <row r="560" spans="1:51" x14ac:dyDescent="0.25">
      <c r="A560" s="139">
        <f t="shared" si="195"/>
        <v>541</v>
      </c>
      <c r="B560" s="140">
        <f t="shared" si="196"/>
        <v>79</v>
      </c>
      <c r="C560" s="120" t="s">
        <v>82</v>
      </c>
      <c r="D560" s="120" t="s">
        <v>368</v>
      </c>
      <c r="E560" s="121">
        <v>1993</v>
      </c>
      <c r="F560" s="121">
        <v>2007</v>
      </c>
      <c r="G560" s="121" t="s">
        <v>83</v>
      </c>
      <c r="H560" s="121">
        <v>9</v>
      </c>
      <c r="I560" s="121">
        <v>1</v>
      </c>
      <c r="J560" s="107">
        <v>2855.54</v>
      </c>
      <c r="K560" s="107">
        <v>2487.9</v>
      </c>
      <c r="L560" s="107">
        <v>367.64</v>
      </c>
      <c r="M560" s="122">
        <v>94</v>
      </c>
      <c r="N560" s="123">
        <f>SUM(O560:S560)</f>
        <v>3591360</v>
      </c>
      <c r="O560" s="107"/>
      <c r="P560" s="108">
        <f>+'Приложение №2'!E560-'Приложение №1'!R560</f>
        <v>2200544.6488000001</v>
      </c>
      <c r="Q560" s="108"/>
      <c r="R560" s="108">
        <v>1390815.3511999999</v>
      </c>
      <c r="S560" s="111"/>
      <c r="T560" s="111"/>
      <c r="U560" s="108">
        <f t="shared" si="192"/>
        <v>1443.5306885324972</v>
      </c>
      <c r="V560" s="108">
        <v>1247.2830200640001</v>
      </c>
      <c r="W560" s="135">
        <v>2024</v>
      </c>
      <c r="X560" s="28" t="e">
        <f>+#REF!-'[1]Приложение №1'!$P219</f>
        <v>#REF!</v>
      </c>
      <c r="Z560" s="30">
        <f t="shared" si="194"/>
        <v>14648835.946255356</v>
      </c>
      <c r="AA560" s="26">
        <v>5957914.8640461573</v>
      </c>
      <c r="AB560" s="26">
        <v>2383734.1772688017</v>
      </c>
      <c r="AC560" s="26">
        <v>1760621.0455607576</v>
      </c>
      <c r="AD560" s="26">
        <v>1125117.5622659819</v>
      </c>
      <c r="AE560" s="26">
        <v>0</v>
      </c>
      <c r="AF560" s="26"/>
      <c r="AG560" s="26">
        <v>264701.84172454086</v>
      </c>
      <c r="AH560" s="26">
        <v>0</v>
      </c>
      <c r="AI560" s="26">
        <v>2607417.5209347345</v>
      </c>
      <c r="AJ560" s="26">
        <v>0</v>
      </c>
      <c r="AK560" s="26">
        <v>0</v>
      </c>
      <c r="AL560" s="26">
        <v>0</v>
      </c>
      <c r="AM560" s="26">
        <v>80780.05</v>
      </c>
      <c r="AN560" s="31">
        <v>160221.22243461735</v>
      </c>
      <c r="AO560" s="32">
        <v>308327.66201976384</v>
      </c>
      <c r="AP560" s="77">
        <f>+N560-'Приложение №2'!E560</f>
        <v>0</v>
      </c>
      <c r="AR560" s="1">
        <f t="shared" si="197"/>
        <v>421703.12675999996</v>
      </c>
      <c r="AS560" s="1">
        <f>+(K560*13.29+L560*22.52)*12*30</f>
        <v>14883639.767999999</v>
      </c>
      <c r="AT560" s="28">
        <f t="shared" si="193"/>
        <v>-14883639.767999999</v>
      </c>
      <c r="AU560" s="28">
        <f>+P560-'[6]Приложение №1'!$P530</f>
        <v>0</v>
      </c>
      <c r="AV560" s="28">
        <f>+Q560-'[6]Приложение №1'!$Q530</f>
        <v>0</v>
      </c>
      <c r="AW560" s="28">
        <f>+R560-'[6]Приложение №1'!$R530</f>
        <v>0</v>
      </c>
      <c r="AX560" s="28">
        <f>+S560-'[6]Приложение №1'!$S530</f>
        <v>0</v>
      </c>
      <c r="AY560" s="28">
        <f>+T560-'[6]Приложение №1'!$T530</f>
        <v>0</v>
      </c>
    </row>
    <row r="561" spans="1:51" s="34" customFormat="1" x14ac:dyDescent="0.25">
      <c r="A561" s="139">
        <f t="shared" si="195"/>
        <v>542</v>
      </c>
      <c r="B561" s="140">
        <f t="shared" si="196"/>
        <v>80</v>
      </c>
      <c r="C561" s="120" t="s">
        <v>82</v>
      </c>
      <c r="D561" s="120" t="s">
        <v>369</v>
      </c>
      <c r="E561" s="121" t="s">
        <v>118</v>
      </c>
      <c r="F561" s="121"/>
      <c r="G561" s="121" t="s">
        <v>83</v>
      </c>
      <c r="H561" s="121" t="s">
        <v>94</v>
      </c>
      <c r="I561" s="121" t="s">
        <v>95</v>
      </c>
      <c r="J561" s="107">
        <v>7245.1</v>
      </c>
      <c r="K561" s="107">
        <v>6191.5</v>
      </c>
      <c r="L561" s="107">
        <v>105</v>
      </c>
      <c r="M561" s="122">
        <v>262</v>
      </c>
      <c r="N561" s="123">
        <f>SUM(O561:S561)</f>
        <v>7182720</v>
      </c>
      <c r="O561" s="107">
        <v>0</v>
      </c>
      <c r="P561" s="108">
        <f>+'Приложение №2'!E561-'Приложение №1'!R561</f>
        <v>4650735.0838000001</v>
      </c>
      <c r="Q561" s="108">
        <v>0</v>
      </c>
      <c r="R561" s="108">
        <v>2531984.9161999999</v>
      </c>
      <c r="S561" s="141"/>
      <c r="T561" s="141"/>
      <c r="U561" s="108">
        <f t="shared" si="192"/>
        <v>1160.0936768149884</v>
      </c>
      <c r="V561" s="108">
        <v>1248.2830200640001</v>
      </c>
      <c r="W561" s="135">
        <v>2024</v>
      </c>
      <c r="Y561" s="34">
        <f>+(K561*12.08+L561*20.47)*12</f>
        <v>923312.04000000015</v>
      </c>
      <c r="AA561" s="35">
        <f>+N561-'[5]Приложение № 2'!E496</f>
        <v>1277439.5331905074</v>
      </c>
      <c r="AD561" s="35">
        <f>+N561-'[5]Приложение № 2'!E496</f>
        <v>1277439.5331905074</v>
      </c>
      <c r="AP561" s="77">
        <f>+N561-'Приложение №2'!E561</f>
        <v>0</v>
      </c>
      <c r="AR561" s="1">
        <f t="shared" si="197"/>
        <v>863426.27699999989</v>
      </c>
      <c r="AS561" s="1">
        <f>+(K561*13.29+L561*22.52)*12*30</f>
        <v>30473868.599999998</v>
      </c>
      <c r="AT561" s="28">
        <f t="shared" si="193"/>
        <v>-30473868.599999998</v>
      </c>
      <c r="AU561" s="28">
        <f>+P561-'[6]Приложение №1'!$P531</f>
        <v>0</v>
      </c>
      <c r="AV561" s="28">
        <f>+Q561-'[6]Приложение №1'!$Q531</f>
        <v>0</v>
      </c>
      <c r="AW561" s="28">
        <f>+R561-'[6]Приложение №1'!$R531</f>
        <v>0</v>
      </c>
      <c r="AX561" s="28">
        <f>+S561-'[6]Приложение №1'!$S531</f>
        <v>0</v>
      </c>
      <c r="AY561" s="28">
        <f>+T561-'[6]Приложение №1'!$T531</f>
        <v>0</v>
      </c>
    </row>
    <row r="562" spans="1:51" x14ac:dyDescent="0.25">
      <c r="A562" s="139">
        <f t="shared" si="195"/>
        <v>543</v>
      </c>
      <c r="B562" s="140">
        <f t="shared" si="196"/>
        <v>81</v>
      </c>
      <c r="C562" s="120" t="s">
        <v>51</v>
      </c>
      <c r="D562" s="120" t="s">
        <v>500</v>
      </c>
      <c r="E562" s="121">
        <v>1985</v>
      </c>
      <c r="F562" s="121">
        <v>2016</v>
      </c>
      <c r="G562" s="121" t="s">
        <v>43</v>
      </c>
      <c r="H562" s="121">
        <v>5</v>
      </c>
      <c r="I562" s="121">
        <v>4</v>
      </c>
      <c r="J562" s="107">
        <v>3419.8</v>
      </c>
      <c r="K562" s="107">
        <v>2847.6</v>
      </c>
      <c r="L562" s="107">
        <v>0</v>
      </c>
      <c r="M562" s="122">
        <v>127</v>
      </c>
      <c r="N562" s="123">
        <f t="shared" ref="N562:N594" si="198">SUM(O562:T562)</f>
        <v>2983684.0700000003</v>
      </c>
      <c r="O562" s="107"/>
      <c r="P562" s="108"/>
      <c r="Q562" s="108"/>
      <c r="R562" s="108">
        <f t="shared" ref="R562:R575" si="199">+AQ562+AR562</f>
        <v>1572282.99</v>
      </c>
      <c r="S562" s="108">
        <f>+'Приложение №2'!E562-'Приложение №1'!R562</f>
        <v>1411401.0800000003</v>
      </c>
      <c r="T562" s="108">
        <v>0</v>
      </c>
      <c r="U562" s="108">
        <f t="shared" si="192"/>
        <v>1047.7890398932436</v>
      </c>
      <c r="V562" s="108">
        <v>1249.2830200640001</v>
      </c>
      <c r="W562" s="135">
        <v>2024</v>
      </c>
      <c r="X562" s="28" t="e">
        <f>+#REF!-'[1]Приложение №1'!$P375</f>
        <v>#REF!</v>
      </c>
      <c r="Z562" s="30">
        <f t="shared" ref="Z562:Z567" si="200">SUM(AA562:AO562)</f>
        <v>3028949.7</v>
      </c>
      <c r="AA562" s="26">
        <v>0</v>
      </c>
      <c r="AB562" s="26">
        <v>0</v>
      </c>
      <c r="AC562" s="26">
        <v>2925994.6940138005</v>
      </c>
      <c r="AD562" s="26">
        <v>0</v>
      </c>
      <c r="AE562" s="26">
        <v>0</v>
      </c>
      <c r="AF562" s="26"/>
      <c r="AG562" s="26">
        <v>0</v>
      </c>
      <c r="AH562" s="26">
        <v>0</v>
      </c>
      <c r="AI562" s="26">
        <v>0</v>
      </c>
      <c r="AJ562" s="26">
        <v>0</v>
      </c>
      <c r="AK562" s="26">
        <v>0</v>
      </c>
      <c r="AL562" s="26">
        <v>0</v>
      </c>
      <c r="AM562" s="39">
        <v>41985.58</v>
      </c>
      <c r="AN562" s="26">
        <v>3280.05</v>
      </c>
      <c r="AO562" s="32">
        <v>57689.375986200001</v>
      </c>
      <c r="AP562" s="77">
        <f>+N562-'Приложение №2'!E562</f>
        <v>0</v>
      </c>
      <c r="AQ562" s="1">
        <v>1281827.79</v>
      </c>
      <c r="AR562" s="1">
        <f t="shared" ref="AR562:AR567" si="201">+(K562*10+L562*20)*12*0.85</f>
        <v>290455.2</v>
      </c>
      <c r="AS562" s="1">
        <f>+(K562*10+L562*20)*12*30</f>
        <v>10251360</v>
      </c>
      <c r="AT562" s="28">
        <f t="shared" si="193"/>
        <v>-8839958.9199999999</v>
      </c>
      <c r="AU562" s="28">
        <f>+P562-'[6]Приложение №1'!$P532</f>
        <v>0</v>
      </c>
      <c r="AV562" s="28">
        <f>+Q562-'[6]Приложение №1'!$Q532</f>
        <v>0</v>
      </c>
      <c r="AW562" s="28">
        <f>+R562-'[6]Приложение №1'!$R532</f>
        <v>0</v>
      </c>
      <c r="AX562" s="28">
        <f>+S562-'[6]Приложение №1'!$S532</f>
        <v>0</v>
      </c>
      <c r="AY562" s="28">
        <f>+T562-'[6]Приложение №1'!$T532</f>
        <v>0</v>
      </c>
    </row>
    <row r="563" spans="1:51" x14ac:dyDescent="0.25">
      <c r="A563" s="139">
        <f t="shared" si="195"/>
        <v>544</v>
      </c>
      <c r="B563" s="140">
        <f t="shared" si="196"/>
        <v>82</v>
      </c>
      <c r="C563" s="120" t="s">
        <v>51</v>
      </c>
      <c r="D563" s="120" t="s">
        <v>501</v>
      </c>
      <c r="E563" s="121">
        <v>1996</v>
      </c>
      <c r="F563" s="121">
        <v>2013</v>
      </c>
      <c r="G563" s="121" t="s">
        <v>83</v>
      </c>
      <c r="H563" s="121">
        <v>2</v>
      </c>
      <c r="I563" s="121">
        <v>2</v>
      </c>
      <c r="J563" s="107">
        <v>1125</v>
      </c>
      <c r="K563" s="107">
        <v>1125</v>
      </c>
      <c r="L563" s="107">
        <v>0</v>
      </c>
      <c r="M563" s="122">
        <v>54</v>
      </c>
      <c r="N563" s="123">
        <f t="shared" si="198"/>
        <v>3390546.88</v>
      </c>
      <c r="O563" s="107"/>
      <c r="P563" s="108"/>
      <c r="Q563" s="108"/>
      <c r="R563" s="108">
        <f t="shared" si="199"/>
        <v>650714.24</v>
      </c>
      <c r="S563" s="108">
        <f>+'Приложение №2'!E563-'Приложение №1'!R563</f>
        <v>2739832.6399999997</v>
      </c>
      <c r="T563" s="108">
        <v>0</v>
      </c>
      <c r="U563" s="108">
        <f t="shared" si="192"/>
        <v>3013.8194488888889</v>
      </c>
      <c r="V563" s="108">
        <v>1250.2830200640001</v>
      </c>
      <c r="W563" s="135">
        <v>2024</v>
      </c>
      <c r="X563" s="28" t="e">
        <f>+#REF!-'[1]Приложение №1'!$P1004</f>
        <v>#REF!</v>
      </c>
      <c r="Z563" s="30">
        <f t="shared" si="200"/>
        <v>3390546.88</v>
      </c>
      <c r="AA563" s="26">
        <v>0</v>
      </c>
      <c r="AB563" s="26">
        <v>0</v>
      </c>
      <c r="AC563" s="26">
        <v>0</v>
      </c>
      <c r="AD563" s="26">
        <v>0</v>
      </c>
      <c r="AE563" s="26">
        <v>0</v>
      </c>
      <c r="AF563" s="26"/>
      <c r="AG563" s="26">
        <v>0</v>
      </c>
      <c r="AH563" s="26">
        <v>0</v>
      </c>
      <c r="AI563" s="26">
        <v>3197890.5015539997</v>
      </c>
      <c r="AJ563" s="26">
        <v>0</v>
      </c>
      <c r="AK563" s="26">
        <v>0</v>
      </c>
      <c r="AL563" s="26">
        <v>0</v>
      </c>
      <c r="AM563" s="26">
        <v>85155.99</v>
      </c>
      <c r="AN563" s="26">
        <v>37569</v>
      </c>
      <c r="AO563" s="32">
        <v>69931.388445999997</v>
      </c>
      <c r="AP563" s="77">
        <f>+N563-'Приложение №2'!E563</f>
        <v>0</v>
      </c>
      <c r="AQ563" s="1">
        <v>535964.24</v>
      </c>
      <c r="AR563" s="1">
        <f t="shared" si="201"/>
        <v>114750</v>
      </c>
      <c r="AS563" s="1">
        <f>+(K563*10+L563*20)*12*30</f>
        <v>4050000</v>
      </c>
      <c r="AT563" s="28">
        <f t="shared" si="193"/>
        <v>-1310167.3600000003</v>
      </c>
      <c r="AU563" s="28">
        <f>+P563-'[6]Приложение №1'!$P533</f>
        <v>0</v>
      </c>
      <c r="AV563" s="28">
        <f>+Q563-'[6]Приложение №1'!$Q533</f>
        <v>0</v>
      </c>
      <c r="AW563" s="28">
        <f>+R563-'[6]Приложение №1'!$R533</f>
        <v>0</v>
      </c>
      <c r="AX563" s="28">
        <f>+S563-'[6]Приложение №1'!$S533</f>
        <v>0</v>
      </c>
      <c r="AY563" s="28">
        <f>+T563-'[6]Приложение №1'!$T533</f>
        <v>0</v>
      </c>
    </row>
    <row r="564" spans="1:51" x14ac:dyDescent="0.25">
      <c r="A564" s="139">
        <f t="shared" si="195"/>
        <v>545</v>
      </c>
      <c r="B564" s="140">
        <f t="shared" si="196"/>
        <v>83</v>
      </c>
      <c r="C564" s="120" t="s">
        <v>51</v>
      </c>
      <c r="D564" s="120" t="s">
        <v>502</v>
      </c>
      <c r="E564" s="121">
        <v>1986</v>
      </c>
      <c r="F564" s="121">
        <v>2013</v>
      </c>
      <c r="G564" s="121" t="s">
        <v>83</v>
      </c>
      <c r="H564" s="121">
        <v>2</v>
      </c>
      <c r="I564" s="121">
        <v>2</v>
      </c>
      <c r="J564" s="107">
        <v>1112.5</v>
      </c>
      <c r="K564" s="107">
        <v>1000.4</v>
      </c>
      <c r="L564" s="107">
        <v>0</v>
      </c>
      <c r="M564" s="122">
        <v>40</v>
      </c>
      <c r="N564" s="123">
        <f t="shared" si="198"/>
        <v>589567.59499999997</v>
      </c>
      <c r="O564" s="107"/>
      <c r="P564" s="108"/>
      <c r="Q564" s="108"/>
      <c r="R564" s="108">
        <f t="shared" si="199"/>
        <v>393369.2</v>
      </c>
      <c r="S564" s="108">
        <f>+'Приложение №2'!E564-'Приложение №1'!R564</f>
        <v>196198.39499999996</v>
      </c>
      <c r="T564" s="108">
        <v>0</v>
      </c>
      <c r="U564" s="108">
        <f t="shared" si="192"/>
        <v>589.33186225509792</v>
      </c>
      <c r="V564" s="108">
        <v>1251.2830200640001</v>
      </c>
      <c r="W564" s="135">
        <v>2024</v>
      </c>
      <c r="X564" s="28" t="e">
        <f>+#REF!-'[1]Приложение №1'!$P631</f>
        <v>#REF!</v>
      </c>
      <c r="Z564" s="30">
        <f t="shared" si="200"/>
        <v>2293840.42</v>
      </c>
      <c r="AA564" s="26">
        <v>943755.90929256007</v>
      </c>
      <c r="AB564" s="26">
        <v>0</v>
      </c>
      <c r="AC564" s="26">
        <v>576950.84846699995</v>
      </c>
      <c r="AD564" s="26">
        <v>439929.92612436</v>
      </c>
      <c r="AE564" s="26">
        <v>0</v>
      </c>
      <c r="AF564" s="26"/>
      <c r="AG564" s="26">
        <v>46894.9827066</v>
      </c>
      <c r="AH564" s="26">
        <v>0</v>
      </c>
      <c r="AI564" s="26">
        <v>0</v>
      </c>
      <c r="AJ564" s="26">
        <v>0</v>
      </c>
      <c r="AK564" s="26">
        <v>0</v>
      </c>
      <c r="AL564" s="26">
        <v>0</v>
      </c>
      <c r="AM564" s="26">
        <v>219469.69759999998</v>
      </c>
      <c r="AN564" s="31">
        <v>22938.404200000004</v>
      </c>
      <c r="AO564" s="32">
        <v>43900.65160948001</v>
      </c>
      <c r="AP564" s="77">
        <f>+N564-'Приложение №2'!E564</f>
        <v>0</v>
      </c>
      <c r="AQ564" s="1">
        <v>291328.40000000002</v>
      </c>
      <c r="AR564" s="1">
        <f t="shared" si="201"/>
        <v>102040.8</v>
      </c>
      <c r="AS564" s="1">
        <f>+(K564*10+L564*20)*12*30</f>
        <v>3601440</v>
      </c>
      <c r="AT564" s="28">
        <f t="shared" si="193"/>
        <v>-3405241.605</v>
      </c>
      <c r="AU564" s="28">
        <f>+P564-'[6]Приложение №1'!$P534</f>
        <v>0</v>
      </c>
      <c r="AV564" s="28">
        <f>+Q564-'[6]Приложение №1'!$Q534</f>
        <v>0</v>
      </c>
      <c r="AW564" s="28">
        <f>+R564-'[6]Приложение №1'!$R534</f>
        <v>0</v>
      </c>
      <c r="AX564" s="28">
        <f>+S564-'[6]Приложение №1'!$S534</f>
        <v>0</v>
      </c>
      <c r="AY564" s="28">
        <f>+T564-'[6]Приложение №1'!$T534</f>
        <v>0</v>
      </c>
    </row>
    <row r="565" spans="1:51" x14ac:dyDescent="0.25">
      <c r="A565" s="139">
        <f t="shared" si="195"/>
        <v>546</v>
      </c>
      <c r="B565" s="140">
        <f t="shared" si="196"/>
        <v>84</v>
      </c>
      <c r="C565" s="120" t="s">
        <v>51</v>
      </c>
      <c r="D565" s="120" t="s">
        <v>503</v>
      </c>
      <c r="E565" s="121">
        <v>1991</v>
      </c>
      <c r="F565" s="121">
        <v>2013</v>
      </c>
      <c r="G565" s="121" t="s">
        <v>43</v>
      </c>
      <c r="H565" s="121">
        <v>2</v>
      </c>
      <c r="I565" s="121">
        <v>2</v>
      </c>
      <c r="J565" s="107">
        <v>1131.9000000000001</v>
      </c>
      <c r="K565" s="107">
        <v>1004.5</v>
      </c>
      <c r="L565" s="107">
        <v>0</v>
      </c>
      <c r="M565" s="122">
        <v>46</v>
      </c>
      <c r="N565" s="123">
        <f t="shared" si="198"/>
        <v>510140.45280000003</v>
      </c>
      <c r="O565" s="107"/>
      <c r="P565" s="108"/>
      <c r="Q565" s="108"/>
      <c r="R565" s="108">
        <f t="shared" si="199"/>
        <v>214406.8</v>
      </c>
      <c r="S565" s="108">
        <f>+'Приложение №2'!E565-'Приложение №1'!R565</f>
        <v>295733.65280000004</v>
      </c>
      <c r="T565" s="108">
        <v>0</v>
      </c>
      <c r="U565" s="108">
        <f t="shared" si="192"/>
        <v>507.85510482827283</v>
      </c>
      <c r="V565" s="108">
        <v>1252.2830200640001</v>
      </c>
      <c r="W565" s="135">
        <v>2024</v>
      </c>
      <c r="X565" s="28" t="e">
        <f>+#REF!-'[1]Приложение №1'!$P632</f>
        <v>#REF!</v>
      </c>
      <c r="Z565" s="30">
        <f t="shared" si="200"/>
        <v>1478022.6186027201</v>
      </c>
      <c r="AA565" s="26"/>
      <c r="AB565" s="26">
        <v>0</v>
      </c>
      <c r="AC565" s="26">
        <v>499223.44711008004</v>
      </c>
      <c r="AD565" s="26">
        <v>425443.60992000002</v>
      </c>
      <c r="AE565" s="26">
        <v>0</v>
      </c>
      <c r="AF565" s="26"/>
      <c r="AG565" s="26">
        <v>177679.34772671998</v>
      </c>
      <c r="AH565" s="26">
        <v>0</v>
      </c>
      <c r="AI565" s="26">
        <v>0</v>
      </c>
      <c r="AJ565" s="26">
        <v>0</v>
      </c>
      <c r="AK565" s="26">
        <v>0</v>
      </c>
      <c r="AL565" s="26">
        <v>0</v>
      </c>
      <c r="AM565" s="26">
        <v>281303.4768</v>
      </c>
      <c r="AN565" s="31">
        <v>32191.570400000001</v>
      </c>
      <c r="AO565" s="32">
        <v>62181.166645920006</v>
      </c>
      <c r="AP565" s="77">
        <f>+N565-'Приложение №2'!E565</f>
        <v>0</v>
      </c>
      <c r="AQ565" s="1">
        <f>247290.43-135342.63</f>
        <v>111947.79999999999</v>
      </c>
      <c r="AR565" s="1">
        <f t="shared" si="201"/>
        <v>102459</v>
      </c>
      <c r="AS565" s="1">
        <f>+(K565*10+L565*20)*12*30-748881.44</f>
        <v>2867318.56</v>
      </c>
      <c r="AT565" s="28">
        <f t="shared" si="193"/>
        <v>-2571584.9072000002</v>
      </c>
      <c r="AU565" s="28">
        <f>+P565-'[6]Приложение №1'!$P535</f>
        <v>0</v>
      </c>
      <c r="AV565" s="28">
        <f>+Q565-'[6]Приложение №1'!$Q535</f>
        <v>0</v>
      </c>
      <c r="AW565" s="28">
        <f>+R565-'[6]Приложение №1'!$R535</f>
        <v>0</v>
      </c>
      <c r="AX565" s="28">
        <f>+S565-'[6]Приложение №1'!$S535</f>
        <v>0</v>
      </c>
      <c r="AY565" s="28">
        <f>+T565-'[6]Приложение №1'!$T535</f>
        <v>0</v>
      </c>
    </row>
    <row r="566" spans="1:51" x14ac:dyDescent="0.25">
      <c r="A566" s="139">
        <f t="shared" si="195"/>
        <v>547</v>
      </c>
      <c r="B566" s="140">
        <f t="shared" si="196"/>
        <v>85</v>
      </c>
      <c r="C566" s="120" t="s">
        <v>51</v>
      </c>
      <c r="D566" s="120" t="s">
        <v>504</v>
      </c>
      <c r="E566" s="121">
        <v>1982</v>
      </c>
      <c r="F566" s="121">
        <v>2013</v>
      </c>
      <c r="G566" s="121" t="s">
        <v>43</v>
      </c>
      <c r="H566" s="121">
        <v>2</v>
      </c>
      <c r="I566" s="121">
        <v>2</v>
      </c>
      <c r="J566" s="107">
        <v>711.8</v>
      </c>
      <c r="K566" s="107">
        <v>585</v>
      </c>
      <c r="L566" s="107">
        <v>0</v>
      </c>
      <c r="M566" s="122">
        <v>35</v>
      </c>
      <c r="N566" s="123">
        <f t="shared" si="198"/>
        <v>386646.94530000002</v>
      </c>
      <c r="O566" s="107"/>
      <c r="P566" s="108"/>
      <c r="Q566" s="108"/>
      <c r="R566" s="108">
        <f t="shared" si="199"/>
        <v>306771.38</v>
      </c>
      <c r="S566" s="108">
        <f>+'Приложение №2'!E566-'Приложение №1'!R566</f>
        <v>79875.565300000017</v>
      </c>
      <c r="T566" s="108">
        <v>0</v>
      </c>
      <c r="U566" s="108">
        <f t="shared" si="192"/>
        <v>660.93494923076923</v>
      </c>
      <c r="V566" s="108">
        <v>1253.2830200640001</v>
      </c>
      <c r="W566" s="135">
        <v>2024</v>
      </c>
      <c r="X566" s="28" t="e">
        <f>+#REF!-'[1]Приложение №1'!$P633</f>
        <v>#REF!</v>
      </c>
      <c r="Z566" s="30">
        <f t="shared" si="200"/>
        <v>6351355.9299999997</v>
      </c>
      <c r="AA566" s="26">
        <v>1319645.0192616598</v>
      </c>
      <c r="AB566" s="26">
        <v>802983.70469520008</v>
      </c>
      <c r="AC566" s="26">
        <v>378372.70067058003</v>
      </c>
      <c r="AD566" s="26">
        <v>0</v>
      </c>
      <c r="AE566" s="26">
        <v>0</v>
      </c>
      <c r="AF566" s="26"/>
      <c r="AG566" s="26">
        <v>134667.18168371997</v>
      </c>
      <c r="AH566" s="26">
        <v>0</v>
      </c>
      <c r="AI566" s="26">
        <v>0</v>
      </c>
      <c r="AJ566" s="26">
        <v>0</v>
      </c>
      <c r="AK566" s="26">
        <v>0</v>
      </c>
      <c r="AL566" s="26">
        <v>2937440.8278188398</v>
      </c>
      <c r="AM566" s="26">
        <v>592860.32070000004</v>
      </c>
      <c r="AN566" s="31">
        <v>63513.559300000001</v>
      </c>
      <c r="AO566" s="32">
        <v>121872.61587000001</v>
      </c>
      <c r="AP566" s="77">
        <f>+N566-'Приложение №2'!E566</f>
        <v>0</v>
      </c>
      <c r="AQ566" s="1">
        <v>247101.38</v>
      </c>
      <c r="AR566" s="1">
        <f t="shared" si="201"/>
        <v>59670</v>
      </c>
      <c r="AS566" s="1">
        <f>+(K566*10+L566*20)*12*30</f>
        <v>2106000</v>
      </c>
      <c r="AT566" s="28">
        <f t="shared" si="193"/>
        <v>-2026124.4347000001</v>
      </c>
      <c r="AU566" s="28">
        <f>+P566-'[6]Приложение №1'!$P536</f>
        <v>0</v>
      </c>
      <c r="AV566" s="28">
        <f>+Q566-'[6]Приложение №1'!$Q536</f>
        <v>0</v>
      </c>
      <c r="AW566" s="28">
        <f>+R566-'[6]Приложение №1'!$R536</f>
        <v>0</v>
      </c>
      <c r="AX566" s="28">
        <f>+S566-'[6]Приложение №1'!$S536</f>
        <v>0</v>
      </c>
      <c r="AY566" s="28">
        <f>+T566-'[6]Приложение №1'!$T536</f>
        <v>0</v>
      </c>
    </row>
    <row r="567" spans="1:51" x14ac:dyDescent="0.25">
      <c r="A567" s="139">
        <f t="shared" si="195"/>
        <v>548</v>
      </c>
      <c r="B567" s="140">
        <f t="shared" si="196"/>
        <v>86</v>
      </c>
      <c r="C567" s="120" t="s">
        <v>51</v>
      </c>
      <c r="D567" s="120" t="s">
        <v>505</v>
      </c>
      <c r="E567" s="121">
        <v>1988</v>
      </c>
      <c r="F567" s="121">
        <v>2013</v>
      </c>
      <c r="G567" s="121" t="s">
        <v>43</v>
      </c>
      <c r="H567" s="121">
        <v>2</v>
      </c>
      <c r="I567" s="121">
        <v>2</v>
      </c>
      <c r="J567" s="107">
        <v>661.79</v>
      </c>
      <c r="K567" s="107">
        <v>596.70000000000005</v>
      </c>
      <c r="L567" s="107">
        <v>0</v>
      </c>
      <c r="M567" s="122">
        <v>38</v>
      </c>
      <c r="N567" s="123">
        <f t="shared" si="198"/>
        <v>2225415.9724342371</v>
      </c>
      <c r="O567" s="107"/>
      <c r="P567" s="108">
        <f>+'Приложение №2'!E567-'Приложение №1'!R567-'Приложение №1'!S567</f>
        <v>0</v>
      </c>
      <c r="Q567" s="108"/>
      <c r="R567" s="108">
        <f t="shared" si="199"/>
        <v>172568.74000000002</v>
      </c>
      <c r="S567" s="108">
        <f>+'Приложение №2'!E567-'Приложение №1'!R567</f>
        <v>2052847.2324342371</v>
      </c>
      <c r="T567" s="108">
        <f>+'Приложение №2'!E567-'Приложение №1'!P567-'Приложение №1'!R567-'Приложение №1'!S567</f>
        <v>0</v>
      </c>
      <c r="U567" s="108">
        <f t="shared" si="192"/>
        <v>3729.5390856950512</v>
      </c>
      <c r="V567" s="108">
        <v>1254.2830200640001</v>
      </c>
      <c r="W567" s="135">
        <v>2024</v>
      </c>
      <c r="X567" s="28" t="e">
        <f>+#REF!-'[1]Приложение №1'!$P388</f>
        <v>#REF!</v>
      </c>
      <c r="Z567" s="30">
        <f t="shared" si="200"/>
        <v>2270607.88</v>
      </c>
      <c r="AA567" s="26">
        <v>1303091.9754052199</v>
      </c>
      <c r="AB567" s="26">
        <v>0</v>
      </c>
      <c r="AC567" s="26">
        <v>373626.55878113996</v>
      </c>
      <c r="AD567" s="26">
        <v>318408.58904399996</v>
      </c>
      <c r="AE567" s="26">
        <v>0</v>
      </c>
      <c r="AF567" s="26"/>
      <c r="AG567" s="26">
        <v>0</v>
      </c>
      <c r="AH567" s="26">
        <v>0</v>
      </c>
      <c r="AI567" s="26">
        <v>0</v>
      </c>
      <c r="AJ567" s="26">
        <v>0</v>
      </c>
      <c r="AK567" s="26">
        <v>0</v>
      </c>
      <c r="AL567" s="26">
        <v>0</v>
      </c>
      <c r="AM567" s="26">
        <v>209145.2886</v>
      </c>
      <c r="AN567" s="31">
        <v>22706.078799999999</v>
      </c>
      <c r="AO567" s="32">
        <v>43629.389369639997</v>
      </c>
      <c r="AP567" s="77">
        <f>+N567-'Приложение №2'!E567</f>
        <v>0</v>
      </c>
      <c r="AQ567" s="1">
        <f>143197.73-31492.39</f>
        <v>111705.34000000001</v>
      </c>
      <c r="AR567" s="1">
        <f t="shared" si="201"/>
        <v>60863.4</v>
      </c>
      <c r="AS567" s="1">
        <f>+(K567*10+L567*20)*12*30</f>
        <v>2148120</v>
      </c>
      <c r="AT567" s="28">
        <f t="shared" si="193"/>
        <v>-95272.767565762857</v>
      </c>
      <c r="AU567" s="28">
        <f>+P567-'[6]Приложение №1'!$P537</f>
        <v>0</v>
      </c>
      <c r="AV567" s="28">
        <f>+Q567-'[6]Приложение №1'!$Q537</f>
        <v>0</v>
      </c>
      <c r="AW567" s="28">
        <f>+R567-'[6]Приложение №1'!$R537</f>
        <v>0</v>
      </c>
      <c r="AX567" s="28">
        <f>+S567-'[6]Приложение №1'!$S537</f>
        <v>186659.45983423712</v>
      </c>
      <c r="AY567" s="28">
        <f>+T567-'[6]Приложение №1'!$T537</f>
        <v>0</v>
      </c>
    </row>
    <row r="568" spans="1:51" s="34" customFormat="1" x14ac:dyDescent="0.25">
      <c r="A568" s="139">
        <f t="shared" si="195"/>
        <v>549</v>
      </c>
      <c r="B568" s="140">
        <f t="shared" si="196"/>
        <v>87</v>
      </c>
      <c r="C568" s="120" t="s">
        <v>92</v>
      </c>
      <c r="D568" s="120" t="s">
        <v>506</v>
      </c>
      <c r="E568" s="121" t="s">
        <v>124</v>
      </c>
      <c r="F568" s="121"/>
      <c r="G568" s="121" t="s">
        <v>83</v>
      </c>
      <c r="H568" s="121" t="s">
        <v>94</v>
      </c>
      <c r="I568" s="121" t="s">
        <v>105</v>
      </c>
      <c r="J568" s="107">
        <v>17927.330000000002</v>
      </c>
      <c r="K568" s="107">
        <v>15026.75</v>
      </c>
      <c r="L568" s="107">
        <v>72.8</v>
      </c>
      <c r="M568" s="122">
        <v>571</v>
      </c>
      <c r="N568" s="123">
        <f t="shared" si="198"/>
        <v>21536888.215718932</v>
      </c>
      <c r="O568" s="107">
        <v>0</v>
      </c>
      <c r="P568" s="108"/>
      <c r="Q568" s="108">
        <v>0</v>
      </c>
      <c r="R568" s="108">
        <f t="shared" si="199"/>
        <v>11169257.9377</v>
      </c>
      <c r="S568" s="108">
        <f>+'Приложение №2'!E568-'Приложение №1'!R568</f>
        <v>10367630.278018933</v>
      </c>
      <c r="T568" s="108">
        <v>0</v>
      </c>
      <c r="U568" s="108">
        <f t="shared" si="192"/>
        <v>1433.2366090950427</v>
      </c>
      <c r="V568" s="108">
        <v>1255.2830200640001</v>
      </c>
      <c r="W568" s="135">
        <v>2024</v>
      </c>
      <c r="X568" s="34">
        <v>7106067.9400000004</v>
      </c>
      <c r="Y568" s="34">
        <f>+(K568*12.08+L568*20.47)*12</f>
        <v>2196160.2719999999</v>
      </c>
      <c r="AA568" s="35">
        <f>+N568-'[5]Приложение № 2'!E503</f>
        <v>16116091.425718933</v>
      </c>
      <c r="AD568" s="35">
        <f>+N568-'[5]Приложение № 2'!E503</f>
        <v>16116091.425718933</v>
      </c>
      <c r="AP568" s="77">
        <f>+N568-'Приложение №2'!E568</f>
        <v>0</v>
      </c>
      <c r="AQ568" s="34">
        <v>9115539.3100000005</v>
      </c>
      <c r="AR568" s="1">
        <f>+(K568*13.29+L568*22.52)*12*0.85</f>
        <v>2053718.6276999998</v>
      </c>
      <c r="AS568" s="1">
        <f>+(K568*13.29+L568*22.52)*12*30</f>
        <v>72484186.859999999</v>
      </c>
      <c r="AT568" s="28">
        <f t="shared" si="193"/>
        <v>-62116556.581981063</v>
      </c>
      <c r="AU568" s="28">
        <f>+P568-'[6]Приложение №1'!$P538</f>
        <v>0</v>
      </c>
      <c r="AV568" s="28">
        <f>+Q568-'[6]Приложение №1'!$Q538</f>
        <v>0</v>
      </c>
      <c r="AW568" s="28">
        <f>+R568-'[6]Приложение №1'!$R538</f>
        <v>0</v>
      </c>
      <c r="AX568" s="28">
        <f>+S568-'[6]Приложение №1'!$S538</f>
        <v>0</v>
      </c>
      <c r="AY568" s="28">
        <f>+T568-'[6]Приложение №1'!$T538</f>
        <v>0</v>
      </c>
    </row>
    <row r="569" spans="1:51" s="34" customFormat="1" x14ac:dyDescent="0.25">
      <c r="A569" s="139">
        <f t="shared" si="195"/>
        <v>550</v>
      </c>
      <c r="B569" s="140">
        <f t="shared" si="196"/>
        <v>88</v>
      </c>
      <c r="C569" s="120" t="s">
        <v>92</v>
      </c>
      <c r="D569" s="120" t="s">
        <v>507</v>
      </c>
      <c r="E569" s="121" t="s">
        <v>125</v>
      </c>
      <c r="F569" s="121"/>
      <c r="G569" s="121" t="s">
        <v>83</v>
      </c>
      <c r="H569" s="121" t="s">
        <v>94</v>
      </c>
      <c r="I569" s="121" t="s">
        <v>126</v>
      </c>
      <c r="J569" s="107">
        <v>20643.599999999999</v>
      </c>
      <c r="K569" s="107">
        <v>17405.5</v>
      </c>
      <c r="L569" s="107">
        <v>146.19999999999999</v>
      </c>
      <c r="M569" s="122">
        <v>665</v>
      </c>
      <c r="N569" s="123">
        <f t="shared" si="198"/>
        <v>25139520</v>
      </c>
      <c r="O569" s="107">
        <v>0</v>
      </c>
      <c r="P569" s="108"/>
      <c r="Q569" s="108">
        <v>0</v>
      </c>
      <c r="R569" s="108">
        <f t="shared" si="199"/>
        <v>13086959.943799999</v>
      </c>
      <c r="S569" s="108">
        <f>+'Приложение №2'!E569-'Приложение №1'!R569</f>
        <v>12052560.056200001</v>
      </c>
      <c r="T569" s="108">
        <v>0</v>
      </c>
      <c r="U569" s="108">
        <f t="shared" si="192"/>
        <v>1444.3434546551377</v>
      </c>
      <c r="V569" s="108">
        <v>1256.2830200640001</v>
      </c>
      <c r="W569" s="135">
        <v>2024</v>
      </c>
      <c r="X569" s="34">
        <v>8381860.3899999997</v>
      </c>
      <c r="Y569" s="34">
        <f>+(K569*12.08+L569*20.47)*12</f>
        <v>2559013.8480000002</v>
      </c>
      <c r="AA569" s="35">
        <f>+N569-'[5]Приложение № 2'!E504</f>
        <v>17984501.98</v>
      </c>
      <c r="AD569" s="35">
        <f>+N569-'[5]Приложение № 2'!E504</f>
        <v>17984501.98</v>
      </c>
      <c r="AP569" s="77">
        <f>+N569-'Приложение №2'!E569</f>
        <v>0</v>
      </c>
      <c r="AQ569" s="34">
        <v>10693922.449999999</v>
      </c>
      <c r="AR569" s="1">
        <f>+(K569*13.29+L569*22.52)*12*0.85</f>
        <v>2393037.4937999998</v>
      </c>
      <c r="AS569" s="1">
        <f>+(K569*13.29+L569*22.52)*12*30</f>
        <v>84460146.839999989</v>
      </c>
      <c r="AT569" s="28">
        <f t="shared" si="193"/>
        <v>-72407586.783799991</v>
      </c>
      <c r="AU569" s="28">
        <f>+P569-'[6]Приложение №1'!$P539</f>
        <v>0</v>
      </c>
      <c r="AV569" s="28">
        <f>+Q569-'[6]Приложение №1'!$Q539</f>
        <v>0</v>
      </c>
      <c r="AW569" s="28">
        <f>+R569-'[6]Приложение №1'!$R539</f>
        <v>0</v>
      </c>
      <c r="AX569" s="28">
        <f>+S569-'[6]Приложение №1'!$S539</f>
        <v>0</v>
      </c>
      <c r="AY569" s="28">
        <f>+T569-'[6]Приложение №1'!$T539</f>
        <v>0</v>
      </c>
    </row>
    <row r="570" spans="1:51" s="34" customFormat="1" x14ac:dyDescent="0.25">
      <c r="A570" s="139">
        <f t="shared" si="195"/>
        <v>551</v>
      </c>
      <c r="B570" s="140">
        <f t="shared" si="196"/>
        <v>89</v>
      </c>
      <c r="C570" s="120" t="s">
        <v>92</v>
      </c>
      <c r="D570" s="120" t="s">
        <v>508</v>
      </c>
      <c r="E570" s="121" t="s">
        <v>124</v>
      </c>
      <c r="F570" s="121"/>
      <c r="G570" s="121" t="s">
        <v>83</v>
      </c>
      <c r="H570" s="121" t="s">
        <v>94</v>
      </c>
      <c r="I570" s="121" t="s">
        <v>101</v>
      </c>
      <c r="J570" s="107">
        <v>11180.28</v>
      </c>
      <c r="K570" s="107">
        <v>9305.33</v>
      </c>
      <c r="L570" s="107">
        <v>0</v>
      </c>
      <c r="M570" s="122">
        <v>347</v>
      </c>
      <c r="N570" s="123">
        <f t="shared" si="198"/>
        <v>14391493.255421314</v>
      </c>
      <c r="O570" s="107">
        <v>0</v>
      </c>
      <c r="P570" s="108"/>
      <c r="Q570" s="108">
        <v>0</v>
      </c>
      <c r="R570" s="108">
        <f t="shared" si="199"/>
        <v>6693999.8041399997</v>
      </c>
      <c r="S570" s="108">
        <f>+'Приложение №2'!E570-'Приложение №1'!R570</f>
        <v>7697493.4512813147</v>
      </c>
      <c r="T570" s="108">
        <v>0</v>
      </c>
      <c r="U570" s="108">
        <f t="shared" si="192"/>
        <v>1546.5860163391642</v>
      </c>
      <c r="V570" s="108">
        <v>1257.2830200640001</v>
      </c>
      <c r="W570" s="135">
        <v>2024</v>
      </c>
      <c r="X570" s="34">
        <v>4241666.0199999996</v>
      </c>
      <c r="Y570" s="34">
        <f>+(K570*12.08+L570*20.47)*12</f>
        <v>1348900.6368</v>
      </c>
      <c r="AA570" s="35">
        <f>+N570-'[5]Приложение № 2'!E505</f>
        <v>4500633.5797061138</v>
      </c>
      <c r="AD570" s="35">
        <f>+N570-'[5]Приложение № 2'!E505</f>
        <v>4500633.5797061138</v>
      </c>
      <c r="AP570" s="77">
        <f>+N570-'Приложение №2'!E570</f>
        <v>0</v>
      </c>
      <c r="AQ570" s="34">
        <v>5432587.8799999999</v>
      </c>
      <c r="AR570" s="1">
        <f>+(K570*13.29+L570*22.52)*12*0.85</f>
        <v>1261411.92414</v>
      </c>
      <c r="AS570" s="1">
        <f>+(K570*13.29+L570*22.52)*12*30</f>
        <v>44520420.851999998</v>
      </c>
      <c r="AT570" s="28">
        <f t="shared" si="193"/>
        <v>-36822927.400718682</v>
      </c>
      <c r="AU570" s="28">
        <f>+P570-'[6]Приложение №1'!$P540</f>
        <v>0</v>
      </c>
      <c r="AV570" s="28">
        <f>+Q570-'[6]Приложение №1'!$Q540</f>
        <v>0</v>
      </c>
      <c r="AW570" s="28">
        <f>+R570-'[6]Приложение №1'!$R540</f>
        <v>0</v>
      </c>
      <c r="AX570" s="28">
        <f>+S570-'[6]Приложение №1'!$S540</f>
        <v>0</v>
      </c>
      <c r="AY570" s="28">
        <f>+T570-'[6]Приложение №1'!$T540</f>
        <v>0</v>
      </c>
    </row>
    <row r="571" spans="1:51" x14ac:dyDescent="0.25">
      <c r="A571" s="139">
        <f t="shared" si="195"/>
        <v>552</v>
      </c>
      <c r="B571" s="140">
        <f t="shared" si="196"/>
        <v>90</v>
      </c>
      <c r="C571" s="120" t="s">
        <v>51</v>
      </c>
      <c r="D571" s="120" t="s">
        <v>509</v>
      </c>
      <c r="E571" s="121">
        <v>1964</v>
      </c>
      <c r="F571" s="121">
        <v>2013</v>
      </c>
      <c r="G571" s="121" t="s">
        <v>43</v>
      </c>
      <c r="H571" s="121">
        <v>5</v>
      </c>
      <c r="I571" s="121">
        <v>7</v>
      </c>
      <c r="J571" s="107">
        <v>6384.4</v>
      </c>
      <c r="K571" s="107">
        <v>5253.8</v>
      </c>
      <c r="L571" s="107">
        <v>1130.5999999999999</v>
      </c>
      <c r="M571" s="122">
        <v>210</v>
      </c>
      <c r="N571" s="123">
        <f t="shared" si="198"/>
        <v>39603482.628111437</v>
      </c>
      <c r="O571" s="107"/>
      <c r="P571" s="108">
        <v>127594.26226869</v>
      </c>
      <c r="Q571" s="108"/>
      <c r="R571" s="108">
        <f t="shared" si="199"/>
        <v>4101886.91</v>
      </c>
      <c r="S571" s="108">
        <f>+AS571</f>
        <v>27054000</v>
      </c>
      <c r="T571" s="108">
        <f>+'Приложение №2'!E571-'Приложение №1'!P571-'Приложение №1'!R571-'Приложение №1'!S571</f>
        <v>8320001.4558427483</v>
      </c>
      <c r="U571" s="108">
        <f t="shared" si="192"/>
        <v>7538.0643778049098</v>
      </c>
      <c r="V571" s="108">
        <v>1258.2830200640001</v>
      </c>
      <c r="W571" s="135">
        <v>2024</v>
      </c>
      <c r="X571" s="28" t="e">
        <f>+#REF!-'[1]Приложение №1'!$P1405</f>
        <v>#REF!</v>
      </c>
      <c r="Z571" s="30">
        <f t="shared" ref="Z571:Z579" si="202">SUM(AA571:AO571)</f>
        <v>31039639.368981633</v>
      </c>
      <c r="AA571" s="26">
        <v>13616559.511674002</v>
      </c>
      <c r="AB571" s="26">
        <v>4892953.0885143364</v>
      </c>
      <c r="AC571" s="26">
        <v>5159278.8563651238</v>
      </c>
      <c r="AD571" s="26">
        <v>3303637.3136041779</v>
      </c>
      <c r="AE571" s="26">
        <v>2454070.4593860004</v>
      </c>
      <c r="AF571" s="26"/>
      <c r="AG571" s="26">
        <v>488558.85729000001</v>
      </c>
      <c r="AH571" s="26">
        <v>0</v>
      </c>
      <c r="AI571" s="26">
        <v>0</v>
      </c>
      <c r="AJ571" s="26">
        <v>0</v>
      </c>
      <c r="AK571" s="26">
        <v>0</v>
      </c>
      <c r="AL571" s="26">
        <v>0</v>
      </c>
      <c r="AM571" s="26">
        <v>425297.73</v>
      </c>
      <c r="AN571" s="26">
        <v>45101.82</v>
      </c>
      <c r="AO571" s="32">
        <v>654181.73214800004</v>
      </c>
      <c r="AP571" s="77">
        <f>+N571-'Приложение №2'!E571</f>
        <v>0</v>
      </c>
      <c r="AQ571" s="1">
        <v>3335356.91</v>
      </c>
      <c r="AR571" s="1">
        <f>+(K571*10+L571*20)*12*0.85</f>
        <v>766530</v>
      </c>
      <c r="AS571" s="1">
        <f>+(K571*10+L571*20)*12*30</f>
        <v>27054000</v>
      </c>
      <c r="AT571" s="28">
        <f t="shared" si="193"/>
        <v>0</v>
      </c>
      <c r="AU571" s="28">
        <f>+P571-'[6]Приложение №1'!$P541</f>
        <v>0</v>
      </c>
      <c r="AV571" s="28">
        <f>+Q571-'[6]Приложение №1'!$Q541</f>
        <v>0</v>
      </c>
      <c r="AW571" s="28">
        <f>+R571-'[6]Приложение №1'!$R541</f>
        <v>0</v>
      </c>
      <c r="AX571" s="28">
        <f>+S571-'[6]Приложение №1'!$S541</f>
        <v>0</v>
      </c>
      <c r="AY571" s="28">
        <f>+T571-'[6]Приложение №1'!$T541</f>
        <v>0</v>
      </c>
    </row>
    <row r="572" spans="1:51" x14ac:dyDescent="0.25">
      <c r="A572" s="139">
        <f t="shared" si="195"/>
        <v>553</v>
      </c>
      <c r="B572" s="140">
        <f t="shared" si="196"/>
        <v>91</v>
      </c>
      <c r="C572" s="120" t="s">
        <v>51</v>
      </c>
      <c r="D572" s="120" t="s">
        <v>393</v>
      </c>
      <c r="E572" s="121">
        <v>1968</v>
      </c>
      <c r="F572" s="121">
        <v>2013</v>
      </c>
      <c r="G572" s="121" t="s">
        <v>43</v>
      </c>
      <c r="H572" s="121">
        <v>5</v>
      </c>
      <c r="I572" s="121">
        <v>4</v>
      </c>
      <c r="J572" s="107">
        <v>3228.9</v>
      </c>
      <c r="K572" s="107">
        <v>2518.9</v>
      </c>
      <c r="L572" s="107">
        <v>710</v>
      </c>
      <c r="M572" s="122">
        <v>136</v>
      </c>
      <c r="N572" s="123">
        <f t="shared" si="198"/>
        <v>23235694.261726003</v>
      </c>
      <c r="O572" s="107"/>
      <c r="P572" s="108">
        <v>3200622.2373585771</v>
      </c>
      <c r="Q572" s="108"/>
      <c r="R572" s="108">
        <f t="shared" si="199"/>
        <v>1252471.0624331201</v>
      </c>
      <c r="S572" s="108">
        <f>+AS572</f>
        <v>14180040</v>
      </c>
      <c r="T572" s="108">
        <f>+'Приложение №2'!E572-'Приложение №1'!P572-'Приложение №1'!R572-'Приложение №1'!S572</f>
        <v>4602560.9619343057</v>
      </c>
      <c r="U572" s="108">
        <f t="shared" si="192"/>
        <v>9224.540180922626</v>
      </c>
      <c r="V572" s="108">
        <v>1259.2830200640001</v>
      </c>
      <c r="W572" s="135">
        <v>2024</v>
      </c>
      <c r="X572" s="28" t="e">
        <f>+#REF!-'[1]Приложение №1'!$P1591</f>
        <v>#REF!</v>
      </c>
      <c r="Z572" s="30">
        <f t="shared" si="202"/>
        <v>27107198.400000002</v>
      </c>
      <c r="AA572" s="26">
        <v>5940143.1063865805</v>
      </c>
      <c r="AB572" s="26">
        <v>2116717.1923795803</v>
      </c>
      <c r="AC572" s="26">
        <v>2211498.4827243001</v>
      </c>
      <c r="AD572" s="26">
        <v>1384537.88247348</v>
      </c>
      <c r="AE572" s="26">
        <v>847110.81731472013</v>
      </c>
      <c r="AF572" s="26"/>
      <c r="AG572" s="26">
        <v>227939.55009504</v>
      </c>
      <c r="AH572" s="26">
        <v>0</v>
      </c>
      <c r="AI572" s="26">
        <v>10859485.412210401</v>
      </c>
      <c r="AJ572" s="26">
        <v>0</v>
      </c>
      <c r="AK572" s="26">
        <v>0</v>
      </c>
      <c r="AL572" s="26">
        <v>0</v>
      </c>
      <c r="AM572" s="26">
        <v>2732884.5975000001</v>
      </c>
      <c r="AN572" s="31">
        <v>271071.984</v>
      </c>
      <c r="AO572" s="32">
        <v>515809.3749159</v>
      </c>
      <c r="AP572" s="77">
        <f>+N572-'Приложение №2'!E572</f>
        <v>0</v>
      </c>
      <c r="AQ572" s="28">
        <f>1993779.07-R69</f>
        <v>850703.26243312005</v>
      </c>
      <c r="AR572" s="1">
        <f>+(K572*10+L572*20)*12*0.85</f>
        <v>401767.8</v>
      </c>
      <c r="AS572" s="1">
        <f>+(K572*10+L572*20)*12*30</f>
        <v>14180040</v>
      </c>
      <c r="AT572" s="28">
        <f t="shared" si="193"/>
        <v>0</v>
      </c>
      <c r="AU572" s="28">
        <f>+P572-'[6]Приложение №1'!$P542</f>
        <v>0</v>
      </c>
      <c r="AV572" s="28">
        <f>+Q572-'[6]Приложение №1'!$Q542</f>
        <v>0</v>
      </c>
      <c r="AW572" s="28">
        <f>+R572-'[6]Приложение №1'!$R542</f>
        <v>-1399.0099999997765</v>
      </c>
      <c r="AX572" s="28">
        <f>+S572-'[6]Приложение №1'!$S542</f>
        <v>0</v>
      </c>
      <c r="AY572" s="28">
        <f>+T572-'[6]Приложение №1'!$T542</f>
        <v>1399.0100000016391</v>
      </c>
    </row>
    <row r="573" spans="1:51" x14ac:dyDescent="0.25">
      <c r="A573" s="139">
        <f t="shared" si="195"/>
        <v>554</v>
      </c>
      <c r="B573" s="140">
        <f t="shared" si="196"/>
        <v>92</v>
      </c>
      <c r="C573" s="120" t="s">
        <v>51</v>
      </c>
      <c r="D573" s="120" t="s">
        <v>510</v>
      </c>
      <c r="E573" s="121">
        <v>1971</v>
      </c>
      <c r="F573" s="121">
        <v>1971</v>
      </c>
      <c r="G573" s="121" t="s">
        <v>83</v>
      </c>
      <c r="H573" s="121">
        <v>1</v>
      </c>
      <c r="I573" s="121">
        <v>5</v>
      </c>
      <c r="J573" s="107">
        <v>672.9</v>
      </c>
      <c r="K573" s="107">
        <v>672.9</v>
      </c>
      <c r="L573" s="107">
        <v>0</v>
      </c>
      <c r="M573" s="122">
        <v>33</v>
      </c>
      <c r="N573" s="123">
        <f t="shared" si="198"/>
        <v>4184287.1891999999</v>
      </c>
      <c r="O573" s="107"/>
      <c r="P573" s="108">
        <v>566089.32750000013</v>
      </c>
      <c r="Q573" s="108"/>
      <c r="R573" s="108">
        <f t="shared" si="199"/>
        <v>273418.77</v>
      </c>
      <c r="S573" s="108">
        <f>+AS573</f>
        <v>2422440</v>
      </c>
      <c r="T573" s="108">
        <f>+'Приложение №2'!E573-'Приложение №1'!P573-'Приложение №1'!R573-'Приложение №1'!S573</f>
        <v>922339.09169999976</v>
      </c>
      <c r="U573" s="108">
        <f t="shared" si="192"/>
        <v>6218.2897744092734</v>
      </c>
      <c r="V573" s="108">
        <v>1260.2830200640001</v>
      </c>
      <c r="W573" s="135">
        <v>2024</v>
      </c>
      <c r="X573" s="28" t="e">
        <f>+#REF!-'[1]Приложение №1'!$P392</f>
        <v>#REF!</v>
      </c>
      <c r="Z573" s="30">
        <f t="shared" si="202"/>
        <v>10663801.74</v>
      </c>
      <c r="AA573" s="26">
        <v>1006695.2324683799</v>
      </c>
      <c r="AB573" s="26">
        <v>582199.37404272018</v>
      </c>
      <c r="AC573" s="26">
        <v>615427.84556945995</v>
      </c>
      <c r="AD573" s="26">
        <v>469268.96418359998</v>
      </c>
      <c r="AE573" s="26">
        <v>0</v>
      </c>
      <c r="AF573" s="26"/>
      <c r="AG573" s="26">
        <v>0</v>
      </c>
      <c r="AH573" s="26">
        <v>0</v>
      </c>
      <c r="AI573" s="26">
        <v>1792070.7864570001</v>
      </c>
      <c r="AJ573" s="26">
        <v>0</v>
      </c>
      <c r="AK573" s="26">
        <v>3479315.59778166</v>
      </c>
      <c r="AL573" s="26">
        <v>1368370.2001410001</v>
      </c>
      <c r="AM573" s="26">
        <v>1040151.6639000002</v>
      </c>
      <c r="AN573" s="31">
        <v>106638.01740000001</v>
      </c>
      <c r="AO573" s="32">
        <v>203664.05805617999</v>
      </c>
      <c r="AP573" s="77">
        <f>+N573-'Приложение №2'!E573</f>
        <v>0</v>
      </c>
      <c r="AQ573" s="1">
        <v>204782.97</v>
      </c>
      <c r="AR573" s="1">
        <f>+(K573*10+L573*20)*12*0.85</f>
        <v>68635.8</v>
      </c>
      <c r="AS573" s="1">
        <f>+(K573*10+L573*20)*12*30</f>
        <v>2422440</v>
      </c>
      <c r="AT573" s="28">
        <f t="shared" si="193"/>
        <v>0</v>
      </c>
      <c r="AU573" s="28">
        <f>+P573-'[6]Приложение №1'!$P543</f>
        <v>0</v>
      </c>
      <c r="AV573" s="28">
        <f>+Q573-'[6]Приложение №1'!$Q543</f>
        <v>0</v>
      </c>
      <c r="AW573" s="28">
        <f>+R573-'[6]Приложение №1'!$R543</f>
        <v>0</v>
      </c>
      <c r="AX573" s="28">
        <f>+S573-'[6]Приложение №1'!$S543</f>
        <v>0</v>
      </c>
      <c r="AY573" s="28">
        <f>+T573-'[6]Приложение №1'!$T543</f>
        <v>0</v>
      </c>
    </row>
    <row r="574" spans="1:51" x14ac:dyDescent="0.25">
      <c r="A574" s="139">
        <f t="shared" si="195"/>
        <v>555</v>
      </c>
      <c r="B574" s="140">
        <f t="shared" si="196"/>
        <v>93</v>
      </c>
      <c r="C574" s="120" t="s">
        <v>51</v>
      </c>
      <c r="D574" s="120" t="s">
        <v>396</v>
      </c>
      <c r="E574" s="121">
        <v>1989</v>
      </c>
      <c r="F574" s="121">
        <v>2017</v>
      </c>
      <c r="G574" s="121" t="s">
        <v>83</v>
      </c>
      <c r="H574" s="121">
        <v>9</v>
      </c>
      <c r="I574" s="121">
        <v>3</v>
      </c>
      <c r="J574" s="107">
        <v>7106.9</v>
      </c>
      <c r="K574" s="107">
        <v>6247.4</v>
      </c>
      <c r="L574" s="107">
        <v>0</v>
      </c>
      <c r="M574" s="122">
        <v>249</v>
      </c>
      <c r="N574" s="123">
        <f t="shared" si="198"/>
        <v>41194600.280000001</v>
      </c>
      <c r="O574" s="107"/>
      <c r="P574" s="108">
        <f>2236700.608-203764.38</f>
        <v>2032936.2280000001</v>
      </c>
      <c r="Q574" s="108"/>
      <c r="R574" s="108">
        <f t="shared" si="199"/>
        <v>1722849.2049833797</v>
      </c>
      <c r="S574" s="108">
        <f>+AS574</f>
        <v>28881616.399999999</v>
      </c>
      <c r="T574" s="108">
        <f>+'Приложение №2'!E574-'Приложение №1'!P574-'Приложение №1'!Q574-'Приложение №1'!R574-'Приложение №1'!S574</f>
        <v>8557198.4470166191</v>
      </c>
      <c r="U574" s="108">
        <f t="shared" si="192"/>
        <v>6593.8790985049791</v>
      </c>
      <c r="V574" s="108">
        <v>1261.2830200640001</v>
      </c>
      <c r="W574" s="135">
        <v>2024</v>
      </c>
      <c r="X574" s="28" t="e">
        <f>+#REF!-'[1]Приложение №1'!$P718</f>
        <v>#REF!</v>
      </c>
      <c r="Z574" s="30">
        <f t="shared" si="202"/>
        <v>25881031.239999995</v>
      </c>
      <c r="AA574" s="26"/>
      <c r="AB574" s="26"/>
      <c r="AC574" s="26"/>
      <c r="AD574" s="26"/>
      <c r="AE574" s="26">
        <v>0</v>
      </c>
      <c r="AF574" s="26"/>
      <c r="AG574" s="26"/>
      <c r="AH574" s="26">
        <v>0</v>
      </c>
      <c r="AI574" s="26"/>
      <c r="AJ574" s="26">
        <v>0</v>
      </c>
      <c r="AK574" s="26">
        <v>25881031.239999995</v>
      </c>
      <c r="AL574" s="26">
        <v>0</v>
      </c>
      <c r="AM574" s="26"/>
      <c r="AN574" s="31"/>
      <c r="AO574" s="32"/>
      <c r="AP574" s="77">
        <f>+N574-'Приложение №2'!E574</f>
        <v>0</v>
      </c>
      <c r="AQ574" s="28">
        <f>2787898.61-R72</f>
        <v>875964.15578337968</v>
      </c>
      <c r="AR574" s="1">
        <f>+(K574*13.29+L574*22.52)*12*0.85</f>
        <v>846885.04919999989</v>
      </c>
      <c r="AS574" s="1">
        <f>+(K574*13.29+L574*22.52)*12*30-S72</f>
        <v>28881616.399999999</v>
      </c>
      <c r="AT574" s="28">
        <f t="shared" si="193"/>
        <v>0</v>
      </c>
      <c r="AU574" s="28">
        <f>+P574-'[6]Приложение №1'!$P544</f>
        <v>0</v>
      </c>
      <c r="AV574" s="28">
        <f>+Q574-'[6]Приложение №1'!$Q544</f>
        <v>0</v>
      </c>
      <c r="AW574" s="28">
        <f>+R574-'[6]Приложение №1'!$R544</f>
        <v>0</v>
      </c>
      <c r="AX574" s="28">
        <f>+S574-'[6]Приложение №1'!$S544</f>
        <v>-1008444.1600000001</v>
      </c>
      <c r="AY574" s="28">
        <f>+T574-'[6]Приложение №1'!$T544</f>
        <v>1008444.1600000001</v>
      </c>
    </row>
    <row r="575" spans="1:51" x14ac:dyDescent="0.25">
      <c r="A575" s="139">
        <f t="shared" si="195"/>
        <v>556</v>
      </c>
      <c r="B575" s="140">
        <f t="shared" si="196"/>
        <v>94</v>
      </c>
      <c r="C575" s="120" t="s">
        <v>51</v>
      </c>
      <c r="D575" s="120" t="s">
        <v>511</v>
      </c>
      <c r="E575" s="121">
        <v>1985</v>
      </c>
      <c r="F575" s="121">
        <v>2013</v>
      </c>
      <c r="G575" s="121" t="s">
        <v>83</v>
      </c>
      <c r="H575" s="121">
        <v>3</v>
      </c>
      <c r="I575" s="121">
        <v>3</v>
      </c>
      <c r="J575" s="107">
        <v>1439.1</v>
      </c>
      <c r="K575" s="107">
        <v>1284.3</v>
      </c>
      <c r="L575" s="107">
        <v>0</v>
      </c>
      <c r="M575" s="122">
        <v>55</v>
      </c>
      <c r="N575" s="123">
        <f t="shared" si="198"/>
        <v>17444911.509005461</v>
      </c>
      <c r="O575" s="107"/>
      <c r="P575" s="108">
        <v>3038566.1072513652</v>
      </c>
      <c r="Q575" s="108"/>
      <c r="R575" s="108">
        <f t="shared" si="199"/>
        <v>648286.88</v>
      </c>
      <c r="S575" s="108">
        <f>+AS575</f>
        <v>4623480</v>
      </c>
      <c r="T575" s="108">
        <f>+'Приложение №2'!E575-'Приложение №1'!P575-'Приложение №1'!R575-'Приложение №1'!S575</f>
        <v>9134578.5217540953</v>
      </c>
      <c r="U575" s="108">
        <f t="shared" si="192"/>
        <v>13583.206033641252</v>
      </c>
      <c r="V575" s="108">
        <v>1262.2830200640001</v>
      </c>
      <c r="W575" s="135">
        <v>2024</v>
      </c>
      <c r="X575" s="28" t="e">
        <f>+#REF!-'[1]Приложение №1'!$P1012</f>
        <v>#REF!</v>
      </c>
      <c r="Z575" s="30">
        <f t="shared" si="202"/>
        <v>17444911.509005461</v>
      </c>
      <c r="AA575" s="26">
        <v>0</v>
      </c>
      <c r="AB575" s="26">
        <v>0</v>
      </c>
      <c r="AC575" s="26">
        <v>0</v>
      </c>
      <c r="AD575" s="26">
        <v>1124212.3435180259</v>
      </c>
      <c r="AE575" s="26">
        <v>0</v>
      </c>
      <c r="AF575" s="26"/>
      <c r="AG575" s="26">
        <v>0</v>
      </c>
      <c r="AH575" s="26">
        <v>0</v>
      </c>
      <c r="AI575" s="26">
        <v>4206748.5157533297</v>
      </c>
      <c r="AJ575" s="26">
        <v>0</v>
      </c>
      <c r="AK575" s="26">
        <v>8272430.9336326644</v>
      </c>
      <c r="AL575" s="26">
        <v>3193396.3000122053</v>
      </c>
      <c r="AM575" s="26">
        <v>215153.97</v>
      </c>
      <c r="AN575" s="26">
        <v>65657.709721273903</v>
      </c>
      <c r="AO575" s="32">
        <v>367311.73636796477</v>
      </c>
      <c r="AP575" s="77">
        <f>+N575-'Приложение №2'!E575</f>
        <v>0</v>
      </c>
      <c r="AQ575" s="1">
        <v>517288.28</v>
      </c>
      <c r="AR575" s="1">
        <f t="shared" ref="AR575:AR597" si="203">+(K575*10+L575*20)*12*0.85</f>
        <v>130998.59999999999</v>
      </c>
      <c r="AS575" s="1">
        <f t="shared" ref="AS575:AS581" si="204">+(K575*10+L575*20)*12*30</f>
        <v>4623480</v>
      </c>
      <c r="AT575" s="28">
        <f t="shared" si="193"/>
        <v>0</v>
      </c>
      <c r="AU575" s="28">
        <f>+P575-'[6]Приложение №1'!$P545</f>
        <v>0</v>
      </c>
      <c r="AV575" s="28">
        <f>+Q575-'[6]Приложение №1'!$Q545</f>
        <v>0</v>
      </c>
      <c r="AW575" s="28">
        <f>+R575-'[6]Приложение №1'!$R545</f>
        <v>0</v>
      </c>
      <c r="AX575" s="28">
        <f>+S575-'[6]Приложение №1'!$S545</f>
        <v>0</v>
      </c>
      <c r="AY575" s="28">
        <f>+T575-'[6]Приложение №1'!$T545</f>
        <v>0</v>
      </c>
    </row>
    <row r="576" spans="1:51" x14ac:dyDescent="0.25">
      <c r="A576" s="139">
        <f t="shared" si="195"/>
        <v>557</v>
      </c>
      <c r="B576" s="140">
        <f t="shared" si="196"/>
        <v>95</v>
      </c>
      <c r="C576" s="120" t="s">
        <v>51</v>
      </c>
      <c r="D576" s="120" t="s">
        <v>512</v>
      </c>
      <c r="E576" s="121">
        <v>1973</v>
      </c>
      <c r="F576" s="121">
        <v>2017</v>
      </c>
      <c r="G576" s="121" t="s">
        <v>43</v>
      </c>
      <c r="H576" s="121">
        <v>5</v>
      </c>
      <c r="I576" s="121">
        <v>2</v>
      </c>
      <c r="J576" s="107">
        <v>2354.6</v>
      </c>
      <c r="K576" s="107">
        <v>2141.8000000000002</v>
      </c>
      <c r="L576" s="107">
        <v>0</v>
      </c>
      <c r="M576" s="122">
        <v>96</v>
      </c>
      <c r="N576" s="123">
        <f t="shared" si="198"/>
        <v>4999499.0118000004</v>
      </c>
      <c r="O576" s="107"/>
      <c r="P576" s="108"/>
      <c r="Q576" s="108"/>
      <c r="R576" s="108">
        <f>+'Приложение №2'!E576-'Приложение №1'!S576</f>
        <v>928129.97294748016</v>
      </c>
      <c r="S576" s="108">
        <v>4071369.0388525194</v>
      </c>
      <c r="T576" s="108">
        <v>4.6566128730773926E-10</v>
      </c>
      <c r="U576" s="108">
        <f t="shared" si="192"/>
        <v>2334.2511027173405</v>
      </c>
      <c r="V576" s="108">
        <v>1263.2830200640001</v>
      </c>
      <c r="W576" s="135">
        <v>2024</v>
      </c>
      <c r="X576" s="28" t="e">
        <f>+#REF!-'[1]Приложение №1'!$P397</f>
        <v>#REF!</v>
      </c>
      <c r="Z576" s="30">
        <f t="shared" si="202"/>
        <v>5617414.6200000001</v>
      </c>
      <c r="AA576" s="26">
        <v>0</v>
      </c>
      <c r="AB576" s="26">
        <v>0</v>
      </c>
      <c r="AC576" s="26">
        <v>0</v>
      </c>
      <c r="AD576" s="26">
        <v>0</v>
      </c>
      <c r="AE576" s="26">
        <v>0</v>
      </c>
      <c r="AF576" s="26"/>
      <c r="AG576" s="26">
        <v>0</v>
      </c>
      <c r="AH576" s="26">
        <v>0</v>
      </c>
      <c r="AI576" s="26">
        <v>0</v>
      </c>
      <c r="AJ576" s="26">
        <v>0</v>
      </c>
      <c r="AK576" s="26">
        <v>4892509.7329474799</v>
      </c>
      <c r="AL576" s="26">
        <v>0</v>
      </c>
      <c r="AM576" s="26">
        <v>561741.46200000006</v>
      </c>
      <c r="AN576" s="31">
        <v>56174.146200000003</v>
      </c>
      <c r="AO576" s="32">
        <v>106989.27885251999</v>
      </c>
      <c r="AP576" s="77">
        <f>+N576-'Приложение №2'!E576</f>
        <v>0</v>
      </c>
      <c r="AQ576" s="1">
        <v>892579.22</v>
      </c>
      <c r="AR576" s="1">
        <f t="shared" si="203"/>
        <v>218463.6</v>
      </c>
      <c r="AS576" s="1">
        <f t="shared" si="204"/>
        <v>7710480</v>
      </c>
      <c r="AT576" s="28">
        <f t="shared" si="193"/>
        <v>-3639110.9611474806</v>
      </c>
      <c r="AU576" s="28">
        <f>+P576-'[6]Приложение №1'!$P546</f>
        <v>0</v>
      </c>
      <c r="AV576" s="28">
        <f>+Q576-'[6]Приложение №1'!$Q546</f>
        <v>0</v>
      </c>
      <c r="AW576" s="28">
        <f>+R576-'[6]Приложение №1'!$R546</f>
        <v>0</v>
      </c>
      <c r="AX576" s="28">
        <f>+S576-'[6]Приложение №1'!$S546</f>
        <v>0</v>
      </c>
      <c r="AY576" s="28">
        <f>+T576-'[6]Приложение №1'!$T546</f>
        <v>0</v>
      </c>
    </row>
    <row r="577" spans="1:51" x14ac:dyDescent="0.25">
      <c r="A577" s="139">
        <f t="shared" si="195"/>
        <v>558</v>
      </c>
      <c r="B577" s="140">
        <f t="shared" si="196"/>
        <v>96</v>
      </c>
      <c r="C577" s="120" t="s">
        <v>51</v>
      </c>
      <c r="D577" s="120" t="s">
        <v>513</v>
      </c>
      <c r="E577" s="121">
        <v>1972</v>
      </c>
      <c r="F577" s="121">
        <v>2013</v>
      </c>
      <c r="G577" s="121" t="s">
        <v>43</v>
      </c>
      <c r="H577" s="121">
        <v>5</v>
      </c>
      <c r="I577" s="121">
        <v>2</v>
      </c>
      <c r="J577" s="107">
        <v>3331.95</v>
      </c>
      <c r="K577" s="107">
        <v>2549.4499999999998</v>
      </c>
      <c r="L577" s="107">
        <v>780.8</v>
      </c>
      <c r="M577" s="122">
        <v>190</v>
      </c>
      <c r="N577" s="123">
        <f t="shared" si="198"/>
        <v>2312595.8024999998</v>
      </c>
      <c r="O577" s="107"/>
      <c r="P577" s="108"/>
      <c r="Q577" s="108"/>
      <c r="R577" s="108">
        <f>+AQ577+AR577</f>
        <v>2221077.79</v>
      </c>
      <c r="S577" s="108">
        <f>+'Приложение №2'!E577-'Приложение №1'!R577</f>
        <v>91518.012499999721</v>
      </c>
      <c r="T577" s="108">
        <v>0</v>
      </c>
      <c r="U577" s="108">
        <f t="shared" si="192"/>
        <v>907.09596285473333</v>
      </c>
      <c r="V577" s="108">
        <v>1264.2830200640001</v>
      </c>
      <c r="W577" s="135">
        <v>2024</v>
      </c>
      <c r="X577" s="28" t="e">
        <f>+#REF!-'[1]Приложение №1'!$P399</f>
        <v>#REF!</v>
      </c>
      <c r="Z577" s="30">
        <f t="shared" si="202"/>
        <v>34440876.640000001</v>
      </c>
      <c r="AA577" s="26">
        <v>0</v>
      </c>
      <c r="AB577" s="26">
        <v>2166113.1307510799</v>
      </c>
      <c r="AC577" s="26">
        <v>2263106.2523264997</v>
      </c>
      <c r="AD577" s="26">
        <v>1416847.6029254398</v>
      </c>
      <c r="AE577" s="26">
        <v>866879.08268850006</v>
      </c>
      <c r="AF577" s="26"/>
      <c r="AG577" s="26">
        <v>0</v>
      </c>
      <c r="AH577" s="26">
        <v>0</v>
      </c>
      <c r="AI577" s="26">
        <v>11112903.524356199</v>
      </c>
      <c r="AJ577" s="26">
        <v>0</v>
      </c>
      <c r="AK577" s="26">
        <v>5769870.9583057202</v>
      </c>
      <c r="AL577" s="26">
        <v>6223481.2118761791</v>
      </c>
      <c r="AM577" s="26">
        <v>3625180.5618999996</v>
      </c>
      <c r="AN577" s="31">
        <v>344408.76640000002</v>
      </c>
      <c r="AO577" s="32">
        <v>652085.54847038013</v>
      </c>
      <c r="AP577" s="77">
        <f>+N577-'Приложение №2'!E577</f>
        <v>0</v>
      </c>
      <c r="AQ577" s="1">
        <v>1801750.69</v>
      </c>
      <c r="AR577" s="1">
        <f t="shared" si="203"/>
        <v>419327.1</v>
      </c>
      <c r="AS577" s="1">
        <f t="shared" si="204"/>
        <v>14799780</v>
      </c>
      <c r="AT577" s="28">
        <f t="shared" si="193"/>
        <v>-14708261.987500001</v>
      </c>
      <c r="AU577" s="28">
        <f>+P577-'[6]Приложение №1'!$P547</f>
        <v>0</v>
      </c>
      <c r="AV577" s="28">
        <f>+Q577-'[6]Приложение №1'!$Q547</f>
        <v>0</v>
      </c>
      <c r="AW577" s="28">
        <f>+R577-'[6]Приложение №1'!$R547</f>
        <v>0</v>
      </c>
      <c r="AX577" s="28">
        <f>+S577-'[6]Приложение №1'!$S547</f>
        <v>0</v>
      </c>
      <c r="AY577" s="28">
        <f>+T577-'[6]Приложение №1'!$T547</f>
        <v>0</v>
      </c>
    </row>
    <row r="578" spans="1:51" x14ac:dyDescent="0.25">
      <c r="A578" s="139">
        <f t="shared" si="195"/>
        <v>559</v>
      </c>
      <c r="B578" s="140">
        <f t="shared" si="196"/>
        <v>97</v>
      </c>
      <c r="C578" s="120" t="s">
        <v>51</v>
      </c>
      <c r="D578" s="120" t="s">
        <v>514</v>
      </c>
      <c r="E578" s="121">
        <v>1978</v>
      </c>
      <c r="F578" s="121">
        <v>2012</v>
      </c>
      <c r="G578" s="121" t="s">
        <v>83</v>
      </c>
      <c r="H578" s="121">
        <v>4</v>
      </c>
      <c r="I578" s="121">
        <v>6</v>
      </c>
      <c r="J578" s="107">
        <v>5689.4</v>
      </c>
      <c r="K578" s="107">
        <v>4976.8</v>
      </c>
      <c r="L578" s="107">
        <v>71.5</v>
      </c>
      <c r="M578" s="122">
        <v>227</v>
      </c>
      <c r="N578" s="123">
        <f t="shared" si="198"/>
        <v>1578343.95</v>
      </c>
      <c r="O578" s="107"/>
      <c r="P578" s="108"/>
      <c r="Q578" s="108"/>
      <c r="R578" s="108">
        <f>+'Приложение №2'!E578</f>
        <v>1578343.95</v>
      </c>
      <c r="S578" s="108">
        <f>+'Приложение №2'!E578-'Приложение №1'!R578</f>
        <v>0</v>
      </c>
      <c r="T578" s="108">
        <v>0</v>
      </c>
      <c r="U578" s="108">
        <f t="shared" si="192"/>
        <v>317.14032108985691</v>
      </c>
      <c r="V578" s="108">
        <v>1265.2830200640001</v>
      </c>
      <c r="W578" s="135">
        <v>2024</v>
      </c>
      <c r="X578" s="28" t="e">
        <f>+#REF!-'[1]Приложение №1'!$P651</f>
        <v>#REF!</v>
      </c>
      <c r="Z578" s="30">
        <f t="shared" si="202"/>
        <v>2287454.9999999995</v>
      </c>
      <c r="AA578" s="26">
        <v>0</v>
      </c>
      <c r="AB578" s="26">
        <v>0</v>
      </c>
      <c r="AC578" s="26">
        <v>0</v>
      </c>
      <c r="AD578" s="26">
        <v>0</v>
      </c>
      <c r="AE578" s="26">
        <v>1544567.3894700001</v>
      </c>
      <c r="AF578" s="26"/>
      <c r="AG578" s="26">
        <v>0</v>
      </c>
      <c r="AH578" s="26">
        <v>0</v>
      </c>
      <c r="AI578" s="26">
        <v>0</v>
      </c>
      <c r="AJ578" s="26">
        <v>0</v>
      </c>
      <c r="AK578" s="26">
        <v>0</v>
      </c>
      <c r="AL578" s="26">
        <v>0</v>
      </c>
      <c r="AM578" s="26">
        <v>686236.5</v>
      </c>
      <c r="AN578" s="31">
        <v>22874.55</v>
      </c>
      <c r="AO578" s="32">
        <v>33776.560530000002</v>
      </c>
      <c r="AP578" s="77">
        <f>+N578-'Приложение №2'!E578</f>
        <v>0</v>
      </c>
      <c r="AQ578" s="1">
        <v>2455899.29</v>
      </c>
      <c r="AR578" s="1">
        <f t="shared" si="203"/>
        <v>522219.6</v>
      </c>
      <c r="AS578" s="1">
        <f t="shared" si="204"/>
        <v>18431280</v>
      </c>
      <c r="AT578" s="28">
        <f t="shared" si="193"/>
        <v>-18431280</v>
      </c>
      <c r="AU578" s="28">
        <f>+P578-'[6]Приложение №1'!$P548</f>
        <v>0</v>
      </c>
      <c r="AV578" s="28">
        <f>+Q578-'[6]Приложение №1'!$Q548</f>
        <v>0</v>
      </c>
      <c r="AW578" s="28">
        <f>+R578-'[6]Приложение №1'!$R548</f>
        <v>0</v>
      </c>
      <c r="AX578" s="28">
        <f>+S578-'[6]Приложение №1'!$S548</f>
        <v>0</v>
      </c>
      <c r="AY578" s="28">
        <f>+T578-'[6]Приложение №1'!$T548</f>
        <v>0</v>
      </c>
    </row>
    <row r="579" spans="1:51" x14ac:dyDescent="0.25">
      <c r="A579" s="139">
        <f t="shared" si="195"/>
        <v>560</v>
      </c>
      <c r="B579" s="140">
        <f t="shared" si="196"/>
        <v>98</v>
      </c>
      <c r="C579" s="120" t="s">
        <v>51</v>
      </c>
      <c r="D579" s="120" t="s">
        <v>458</v>
      </c>
      <c r="E579" s="121">
        <v>1974</v>
      </c>
      <c r="F579" s="121">
        <v>2013</v>
      </c>
      <c r="G579" s="121" t="s">
        <v>83</v>
      </c>
      <c r="H579" s="121">
        <v>4</v>
      </c>
      <c r="I579" s="121">
        <v>4</v>
      </c>
      <c r="J579" s="107">
        <v>4783.3599999999997</v>
      </c>
      <c r="K579" s="107">
        <v>3510.2</v>
      </c>
      <c r="L579" s="107">
        <v>0</v>
      </c>
      <c r="M579" s="122">
        <v>164</v>
      </c>
      <c r="N579" s="123">
        <f t="shared" si="198"/>
        <v>8241862.8259200007</v>
      </c>
      <c r="O579" s="107"/>
      <c r="P579" s="108"/>
      <c r="Q579" s="108"/>
      <c r="R579" s="108">
        <f>+AQ579+AR579</f>
        <v>960081.54</v>
      </c>
      <c r="S579" s="108">
        <f>+'Приложение №2'!E579-'Приложение №1'!R579</f>
        <v>7281781.2859200006</v>
      </c>
      <c r="T579" s="108">
        <v>0</v>
      </c>
      <c r="U579" s="108">
        <f t="shared" si="192"/>
        <v>2347.9752794484648</v>
      </c>
      <c r="V579" s="108">
        <v>1266.2830200640001</v>
      </c>
      <c r="W579" s="135">
        <v>2024</v>
      </c>
      <c r="X579" s="28" t="e">
        <f>+#REF!-'[1]Приложение №1'!$P1133</f>
        <v>#REF!</v>
      </c>
      <c r="Z579" s="30">
        <f t="shared" si="202"/>
        <v>10786909.546420002</v>
      </c>
      <c r="AA579" s="26">
        <v>0</v>
      </c>
      <c r="AB579" s="26">
        <v>0</v>
      </c>
      <c r="AC579" s="26">
        <v>0</v>
      </c>
      <c r="AD579" s="26">
        <v>0</v>
      </c>
      <c r="AE579" s="26">
        <v>1314097.3999999999</v>
      </c>
      <c r="AF579" s="26"/>
      <c r="AG579" s="26">
        <v>0</v>
      </c>
      <c r="AH579" s="26">
        <v>0</v>
      </c>
      <c r="AI579" s="26">
        <v>0</v>
      </c>
      <c r="AJ579" s="26">
        <v>0</v>
      </c>
      <c r="AK579" s="26">
        <v>0</v>
      </c>
      <c r="AL579" s="26">
        <v>8060676.2652087007</v>
      </c>
      <c r="AM579" s="26">
        <v>1135899.3550000002</v>
      </c>
      <c r="AN579" s="31">
        <v>95049.965500000006</v>
      </c>
      <c r="AO579" s="32">
        <v>181186.5607113</v>
      </c>
      <c r="AP579" s="77">
        <f>+N579-'Приложение №2'!E579</f>
        <v>0</v>
      </c>
      <c r="AQ579" s="28">
        <f>1511669.96-R281</f>
        <v>602041.14000000013</v>
      </c>
      <c r="AR579" s="1">
        <f t="shared" si="203"/>
        <v>358040.39999999997</v>
      </c>
      <c r="AS579" s="1">
        <f t="shared" si="204"/>
        <v>12636720</v>
      </c>
      <c r="AT579" s="28">
        <f t="shared" si="193"/>
        <v>-5354938.7140799994</v>
      </c>
      <c r="AU579" s="28">
        <f>+P579-'[6]Приложение №1'!$P549</f>
        <v>0</v>
      </c>
      <c r="AV579" s="28">
        <f>+Q579-'[6]Приложение №1'!$Q549</f>
        <v>0</v>
      </c>
      <c r="AW579" s="28">
        <f>+R579-'[6]Приложение №1'!$R549</f>
        <v>0</v>
      </c>
      <c r="AX579" s="28">
        <f>+S579-'[6]Приложение №1'!$S549</f>
        <v>0</v>
      </c>
      <c r="AY579" s="28">
        <f>+T579-'[6]Приложение №1'!$T549</f>
        <v>0</v>
      </c>
    </row>
    <row r="580" spans="1:51" s="34" customFormat="1" x14ac:dyDescent="0.25">
      <c r="A580" s="139">
        <f t="shared" si="195"/>
        <v>561</v>
      </c>
      <c r="B580" s="140">
        <f t="shared" si="196"/>
        <v>99</v>
      </c>
      <c r="C580" s="120" t="s">
        <v>51</v>
      </c>
      <c r="D580" s="120" t="s">
        <v>515</v>
      </c>
      <c r="E580" s="121" t="s">
        <v>127</v>
      </c>
      <c r="F580" s="121"/>
      <c r="G580" s="121" t="s">
        <v>43</v>
      </c>
      <c r="H580" s="121" t="s">
        <v>101</v>
      </c>
      <c r="I580" s="121" t="s">
        <v>95</v>
      </c>
      <c r="J580" s="107">
        <v>1276.4000000000001</v>
      </c>
      <c r="K580" s="107">
        <v>1181.5</v>
      </c>
      <c r="L580" s="107">
        <v>48.4</v>
      </c>
      <c r="M580" s="122">
        <v>69</v>
      </c>
      <c r="N580" s="123">
        <f t="shared" si="198"/>
        <v>19851445.394642435</v>
      </c>
      <c r="O580" s="107">
        <v>0</v>
      </c>
      <c r="P580" s="108">
        <v>2512560.0679270476</v>
      </c>
      <c r="Q580" s="108">
        <v>0</v>
      </c>
      <c r="R580" s="108">
        <f>+AQ580+AR580</f>
        <v>682851.66</v>
      </c>
      <c r="S580" s="108">
        <f>+AS580</f>
        <v>4601880</v>
      </c>
      <c r="T580" s="108">
        <f>+'Приложение №2'!E580-'Приложение №1'!P580-'Приложение №1'!R580-'Приложение №1'!S580</f>
        <v>12054153.666715387</v>
      </c>
      <c r="U580" s="108">
        <f t="shared" si="192"/>
        <v>16801.900460975401</v>
      </c>
      <c r="V580" s="108">
        <v>1267.2830200640001</v>
      </c>
      <c r="W580" s="135">
        <v>2024</v>
      </c>
      <c r="X580" s="34">
        <v>424539.75</v>
      </c>
      <c r="Y580" s="34">
        <f>+(K580*9.1+L580*18.19)*12</f>
        <v>139584.552</v>
      </c>
      <c r="AA580" s="35">
        <f>+N580-'[5]Приложение № 2'!E515</f>
        <v>15197494.173186434</v>
      </c>
      <c r="AD580" s="35">
        <f>+N580-'[5]Приложение № 2'!E515</f>
        <v>15197494.173186434</v>
      </c>
      <c r="AP580" s="77">
        <f>+N580-'Приложение №2'!E580</f>
        <v>0</v>
      </c>
      <c r="AQ580" s="34">
        <v>552465.06000000006</v>
      </c>
      <c r="AR580" s="1">
        <f t="shared" si="203"/>
        <v>130386.59999999999</v>
      </c>
      <c r="AS580" s="1">
        <f t="shared" si="204"/>
        <v>4601880</v>
      </c>
      <c r="AT580" s="28">
        <f t="shared" si="193"/>
        <v>0</v>
      </c>
      <c r="AU580" s="28">
        <f>+P580-'[6]Приложение №1'!$P550</f>
        <v>0</v>
      </c>
      <c r="AV580" s="28">
        <f>+Q580-'[6]Приложение №1'!$Q550</f>
        <v>0</v>
      </c>
      <c r="AW580" s="28">
        <f>+R580-'[6]Приложение №1'!$R550</f>
        <v>0</v>
      </c>
      <c r="AX580" s="28">
        <f>+S580-'[6]Приложение №1'!$S550</f>
        <v>0</v>
      </c>
      <c r="AY580" s="28">
        <f>+T580-'[6]Приложение №1'!$T550</f>
        <v>568835.42473548651</v>
      </c>
    </row>
    <row r="581" spans="1:51" x14ac:dyDescent="0.25">
      <c r="A581" s="139">
        <f t="shared" si="195"/>
        <v>562</v>
      </c>
      <c r="B581" s="140">
        <f t="shared" si="196"/>
        <v>100</v>
      </c>
      <c r="C581" s="120" t="s">
        <v>51</v>
      </c>
      <c r="D581" s="120" t="s">
        <v>461</v>
      </c>
      <c r="E581" s="121">
        <v>1973</v>
      </c>
      <c r="F581" s="121">
        <v>2013</v>
      </c>
      <c r="G581" s="121" t="s">
        <v>43</v>
      </c>
      <c r="H581" s="121">
        <v>5</v>
      </c>
      <c r="I581" s="121">
        <v>6</v>
      </c>
      <c r="J581" s="107">
        <v>5136.8500000000004</v>
      </c>
      <c r="K581" s="107">
        <v>4692.05</v>
      </c>
      <c r="L581" s="107">
        <v>0</v>
      </c>
      <c r="M581" s="122">
        <v>215</v>
      </c>
      <c r="N581" s="123">
        <f t="shared" si="198"/>
        <v>11822611.090756001</v>
      </c>
      <c r="O581" s="107"/>
      <c r="P581" s="108"/>
      <c r="Q581" s="108"/>
      <c r="R581" s="108">
        <f>+AQ581+AR581</f>
        <v>764918.96504399984</v>
      </c>
      <c r="S581" s="108">
        <f>+'Приложение №2'!E581-'Приложение №1'!R581</f>
        <v>11057692.125712002</v>
      </c>
      <c r="T581" s="108">
        <v>0</v>
      </c>
      <c r="U581" s="108">
        <f t="shared" si="192"/>
        <v>2519.7112329911233</v>
      </c>
      <c r="V581" s="108">
        <v>1268.2830200640001</v>
      </c>
      <c r="W581" s="135">
        <v>2024</v>
      </c>
      <c r="X581" s="28" t="e">
        <f>+#REF!-'[1]Приложение №1'!$P1134</f>
        <v>#REF!</v>
      </c>
      <c r="Z581" s="30">
        <f>SUM(AA581:AO581)</f>
        <v>27853394.144955996</v>
      </c>
      <c r="AA581" s="26">
        <v>0</v>
      </c>
      <c r="AB581" s="26">
        <v>0</v>
      </c>
      <c r="AC581" s="26">
        <v>0</v>
      </c>
      <c r="AD581" s="26">
        <v>0</v>
      </c>
      <c r="AE581" s="26">
        <v>1990543.04</v>
      </c>
      <c r="AF581" s="26"/>
      <c r="AG581" s="26">
        <v>0</v>
      </c>
      <c r="AH581" s="26">
        <v>0</v>
      </c>
      <c r="AI581" s="26">
        <v>0</v>
      </c>
      <c r="AJ581" s="26">
        <v>0</v>
      </c>
      <c r="AK581" s="26">
        <v>10718809.191245399</v>
      </c>
      <c r="AL581" s="26">
        <v>11561490.38701188</v>
      </c>
      <c r="AM581" s="26">
        <v>2826217.2920000004</v>
      </c>
      <c r="AN581" s="31">
        <v>260814.88320000001</v>
      </c>
      <c r="AO581" s="32">
        <v>495519.35149872006</v>
      </c>
      <c r="AP581" s="77">
        <f>+N581-'Приложение №2'!E581</f>
        <v>0</v>
      </c>
      <c r="AQ581" s="28">
        <f>2285167.23-R284</f>
        <v>286329.86504399986</v>
      </c>
      <c r="AR581" s="1">
        <f t="shared" si="203"/>
        <v>478589.1</v>
      </c>
      <c r="AS581" s="1">
        <f t="shared" si="204"/>
        <v>16891380</v>
      </c>
      <c r="AT581" s="28">
        <f t="shared" si="193"/>
        <v>-5833687.8742879983</v>
      </c>
      <c r="AU581" s="28">
        <f>+P581-'[6]Приложение №1'!$P551</f>
        <v>0</v>
      </c>
      <c r="AV581" s="28">
        <f>+Q581-'[6]Приложение №1'!$Q551</f>
        <v>0</v>
      </c>
      <c r="AW581" s="28">
        <f>+R581-'[6]Приложение №1'!$R551</f>
        <v>0</v>
      </c>
      <c r="AX581" s="28">
        <f>+S581-'[6]Приложение №1'!$S551</f>
        <v>0</v>
      </c>
      <c r="AY581" s="28">
        <f>+T581-'[6]Приложение №1'!$T551</f>
        <v>0</v>
      </c>
    </row>
    <row r="582" spans="1:51" x14ac:dyDescent="0.25">
      <c r="A582" s="139">
        <f t="shared" si="195"/>
        <v>563</v>
      </c>
      <c r="B582" s="140">
        <f t="shared" si="196"/>
        <v>101</v>
      </c>
      <c r="C582" s="120" t="s">
        <v>51</v>
      </c>
      <c r="D582" s="120" t="s">
        <v>516</v>
      </c>
      <c r="E582" s="121">
        <v>1976</v>
      </c>
      <c r="F582" s="121">
        <v>2005</v>
      </c>
      <c r="G582" s="121" t="s">
        <v>83</v>
      </c>
      <c r="H582" s="121">
        <v>5</v>
      </c>
      <c r="I582" s="121">
        <v>6</v>
      </c>
      <c r="J582" s="107">
        <v>3918.8</v>
      </c>
      <c r="K582" s="107">
        <v>3433.8</v>
      </c>
      <c r="L582" s="107">
        <v>0</v>
      </c>
      <c r="M582" s="122">
        <v>155</v>
      </c>
      <c r="N582" s="123">
        <f t="shared" si="198"/>
        <v>1090383.0156</v>
      </c>
      <c r="O582" s="107"/>
      <c r="P582" s="108"/>
      <c r="Q582" s="108"/>
      <c r="R582" s="108">
        <f>+'Приложение №2'!E582</f>
        <v>1090383.0156</v>
      </c>
      <c r="S582" s="108">
        <f>+'Приложение №2'!E582-'Приложение №1'!R582</f>
        <v>0</v>
      </c>
      <c r="T582" s="108">
        <v>0</v>
      </c>
      <c r="U582" s="108">
        <f t="shared" si="192"/>
        <v>317.54412475974141</v>
      </c>
      <c r="V582" s="108">
        <v>1269.2830200640001</v>
      </c>
      <c r="W582" s="135">
        <v>2024</v>
      </c>
      <c r="X582" s="28">
        <f>+S582-'[1]Приложение №1'!$P655</f>
        <v>-1580265.24</v>
      </c>
      <c r="Z582" s="30">
        <f>SUM(AA582:AO582)</f>
        <v>1580265.24</v>
      </c>
      <c r="AA582" s="26">
        <v>0</v>
      </c>
      <c r="AB582" s="26">
        <v>0</v>
      </c>
      <c r="AC582" s="26">
        <v>0</v>
      </c>
      <c r="AD582" s="26">
        <v>0</v>
      </c>
      <c r="AE582" s="26">
        <v>1067048.8190661601</v>
      </c>
      <c r="AF582" s="26"/>
      <c r="AG582" s="26">
        <v>0</v>
      </c>
      <c r="AH582" s="26">
        <v>0</v>
      </c>
      <c r="AI582" s="26">
        <v>0</v>
      </c>
      <c r="AJ582" s="26">
        <v>0</v>
      </c>
      <c r="AK582" s="26">
        <v>0</v>
      </c>
      <c r="AL582" s="26">
        <v>0</v>
      </c>
      <c r="AM582" s="26">
        <v>474079.57199999999</v>
      </c>
      <c r="AN582" s="31">
        <v>15802.652400000001</v>
      </c>
      <c r="AO582" s="32">
        <v>23334.19653384</v>
      </c>
      <c r="AP582" s="77">
        <f>+N582-'Приложение №2'!E582</f>
        <v>0</v>
      </c>
      <c r="AQ582" s="1">
        <f>1718197.1-846033</f>
        <v>872164.10000000009</v>
      </c>
      <c r="AR582" s="1">
        <f t="shared" si="203"/>
        <v>350247.6</v>
      </c>
      <c r="AS582" s="1">
        <f>+(K582*10+L582*20)*12*30-62340.65-1126498.46</f>
        <v>11172840.890000001</v>
      </c>
      <c r="AT582" s="28">
        <f t="shared" si="193"/>
        <v>-11172840.890000001</v>
      </c>
      <c r="AU582" s="28">
        <f>+P582-'[6]Приложение №1'!$P552</f>
        <v>0</v>
      </c>
      <c r="AV582" s="28">
        <f>+Q582-'[6]Приложение №1'!$Q552</f>
        <v>0</v>
      </c>
      <c r="AW582" s="28">
        <f>+R582-'[6]Приложение №1'!$R552</f>
        <v>0</v>
      </c>
      <c r="AX582" s="28">
        <f>+S582-'[6]Приложение №1'!$S552</f>
        <v>0</v>
      </c>
      <c r="AY582" s="28">
        <f>+T582-'[6]Приложение №1'!$T552</f>
        <v>0</v>
      </c>
    </row>
    <row r="583" spans="1:51" x14ac:dyDescent="0.25">
      <c r="A583" s="139">
        <f t="shared" si="195"/>
        <v>564</v>
      </c>
      <c r="B583" s="140">
        <f t="shared" si="196"/>
        <v>102</v>
      </c>
      <c r="C583" s="120" t="s">
        <v>51</v>
      </c>
      <c r="D583" s="120" t="s">
        <v>517</v>
      </c>
      <c r="E583" s="121">
        <v>1986</v>
      </c>
      <c r="F583" s="121">
        <v>2005</v>
      </c>
      <c r="G583" s="121" t="s">
        <v>43</v>
      </c>
      <c r="H583" s="121">
        <v>5</v>
      </c>
      <c r="I583" s="121">
        <v>3</v>
      </c>
      <c r="J583" s="107">
        <v>5898.64</v>
      </c>
      <c r="K583" s="107">
        <v>4269.5</v>
      </c>
      <c r="L583" s="107">
        <v>369.2</v>
      </c>
      <c r="M583" s="122">
        <v>316</v>
      </c>
      <c r="N583" s="123">
        <f t="shared" si="198"/>
        <v>48200635.318056263</v>
      </c>
      <c r="O583" s="107"/>
      <c r="P583" s="108">
        <v>6350229.8080000002</v>
      </c>
      <c r="Q583" s="108"/>
      <c r="R583" s="108">
        <f t="shared" ref="R583:R589" si="205">+AQ583+AR583</f>
        <v>2630243.4499999997</v>
      </c>
      <c r="S583" s="108">
        <f>+AS583</f>
        <v>18028440</v>
      </c>
      <c r="T583" s="108">
        <f>+'Приложение №2'!E583-'Приложение №1'!P583-'Приложение №1'!R583-'Приложение №1'!S583</f>
        <v>21191722.060056262</v>
      </c>
      <c r="U583" s="108">
        <f t="shared" si="192"/>
        <v>11289.526951178419</v>
      </c>
      <c r="V583" s="108">
        <v>1270.2830200640001</v>
      </c>
      <c r="W583" s="135">
        <v>2024</v>
      </c>
      <c r="X583" s="28" t="e">
        <f>+#REF!-'[1]Приложение №1'!$P1017</f>
        <v>#REF!</v>
      </c>
      <c r="Z583" s="30">
        <f>SUM(AA583:AO583)</f>
        <v>52616181.970000006</v>
      </c>
      <c r="AA583" s="26">
        <v>12089576.8229145</v>
      </c>
      <c r="AB583" s="26">
        <v>4308013.2351488397</v>
      </c>
      <c r="AC583" s="26">
        <v>4500915.2712127808</v>
      </c>
      <c r="AD583" s="26">
        <v>2817857.5473652803</v>
      </c>
      <c r="AE583" s="26">
        <v>0</v>
      </c>
      <c r="AF583" s="26"/>
      <c r="AG583" s="26">
        <v>463910.16369684006</v>
      </c>
      <c r="AH583" s="26">
        <v>0</v>
      </c>
      <c r="AI583" s="26">
        <v>22101585.911395203</v>
      </c>
      <c r="AJ583" s="26">
        <v>0</v>
      </c>
      <c r="AK583" s="26">
        <v>0</v>
      </c>
      <c r="AL583" s="26">
        <v>0</v>
      </c>
      <c r="AM583" s="26">
        <v>4796070.6798999999</v>
      </c>
      <c r="AN583" s="31">
        <v>526161.81969999999</v>
      </c>
      <c r="AO583" s="32">
        <v>1012090.5186665601</v>
      </c>
      <c r="AP583" s="77">
        <f>+N583-'Приложение №2'!E583</f>
        <v>0</v>
      </c>
      <c r="AQ583" s="1">
        <v>2119437.65</v>
      </c>
      <c r="AR583" s="1">
        <f t="shared" si="203"/>
        <v>510805.8</v>
      </c>
      <c r="AS583" s="1">
        <f>+(K583*10+L583*20)*12*30</f>
        <v>18028440</v>
      </c>
      <c r="AT583" s="28">
        <f t="shared" si="193"/>
        <v>0</v>
      </c>
      <c r="AU583" s="28">
        <f>+P583-'[6]Приложение №1'!$P553</f>
        <v>0</v>
      </c>
      <c r="AV583" s="28">
        <f>+Q583-'[6]Приложение №1'!$Q553</f>
        <v>0</v>
      </c>
      <c r="AW583" s="28">
        <f>+R583-'[6]Приложение №1'!$R553</f>
        <v>0</v>
      </c>
      <c r="AX583" s="28">
        <f>+S583-'[6]Приложение №1'!$S553</f>
        <v>0</v>
      </c>
      <c r="AY583" s="28">
        <f>+T583-'[6]Приложение №1'!$T553</f>
        <v>-4415546.6519437358</v>
      </c>
    </row>
    <row r="584" spans="1:51" x14ac:dyDescent="0.25">
      <c r="A584" s="139">
        <f t="shared" si="195"/>
        <v>565</v>
      </c>
      <c r="B584" s="140">
        <f t="shared" si="196"/>
        <v>103</v>
      </c>
      <c r="C584" s="120" t="s">
        <v>51</v>
      </c>
      <c r="D584" s="120" t="s">
        <v>401</v>
      </c>
      <c r="E584" s="121">
        <v>1976</v>
      </c>
      <c r="F584" s="121">
        <v>2013</v>
      </c>
      <c r="G584" s="121" t="s">
        <v>43</v>
      </c>
      <c r="H584" s="121">
        <v>4</v>
      </c>
      <c r="I584" s="121">
        <v>4</v>
      </c>
      <c r="J584" s="107">
        <v>2991.3</v>
      </c>
      <c r="K584" s="107">
        <v>2484.4</v>
      </c>
      <c r="L584" s="107">
        <v>250.6</v>
      </c>
      <c r="M584" s="122">
        <v>122</v>
      </c>
      <c r="N584" s="123">
        <f t="shared" si="198"/>
        <v>25963028.65054227</v>
      </c>
      <c r="O584" s="107"/>
      <c r="P584" s="108">
        <v>3677895.9417703999</v>
      </c>
      <c r="Q584" s="108"/>
      <c r="R584" s="108">
        <f t="shared" si="205"/>
        <v>1462998.8499999999</v>
      </c>
      <c r="S584" s="108">
        <f>+AS584</f>
        <v>9807202.6400000006</v>
      </c>
      <c r="T584" s="108">
        <f>+'Приложение №2'!E584-'Приложение №1'!P584-'Приложение №1'!R584-'Приложение №1'!S584</f>
        <v>11014931.218771871</v>
      </c>
      <c r="U584" s="108">
        <f t="shared" si="192"/>
        <v>10450.422094083991</v>
      </c>
      <c r="V584" s="108">
        <v>1271.2830200640001</v>
      </c>
      <c r="W584" s="135">
        <v>2024</v>
      </c>
      <c r="X584" s="28" t="e">
        <f>+#REF!-'[1]Приложение №1'!$P1137</f>
        <v>#REF!</v>
      </c>
      <c r="Z584" s="30">
        <f>SUM(AA584:AO584)</f>
        <v>37022548.278852001</v>
      </c>
      <c r="AA584" s="26">
        <v>6531079.8989818199</v>
      </c>
      <c r="AB584" s="26">
        <v>0</v>
      </c>
      <c r="AC584" s="26">
        <v>0</v>
      </c>
      <c r="AD584" s="26">
        <v>0</v>
      </c>
      <c r="AE584" s="26">
        <v>1171020.99</v>
      </c>
      <c r="AF584" s="26"/>
      <c r="AG584" s="26">
        <v>0</v>
      </c>
      <c r="AH584" s="26">
        <v>0</v>
      </c>
      <c r="AI584" s="26">
        <v>11939807.781027</v>
      </c>
      <c r="AJ584" s="26">
        <v>0</v>
      </c>
      <c r="AK584" s="26">
        <v>6199203.4736406608</v>
      </c>
      <c r="AL584" s="26">
        <v>6686566.5827221796</v>
      </c>
      <c r="AM584" s="26">
        <v>3445210.5711000003</v>
      </c>
      <c r="AN584" s="31">
        <v>359077.49579999998</v>
      </c>
      <c r="AO584" s="32">
        <v>690581.48558034003</v>
      </c>
      <c r="AP584" s="77">
        <f>+N584-'Приложение №2'!E584</f>
        <v>0</v>
      </c>
      <c r="AQ584" s="1">
        <f>1388531.28-230063.63</f>
        <v>1158467.6499999999</v>
      </c>
      <c r="AR584" s="1">
        <f t="shared" si="203"/>
        <v>304531.20000000001</v>
      </c>
      <c r="AS584" s="1">
        <f>+(K584*10+L584*20)*12*30-940957.36</f>
        <v>9807202.6400000006</v>
      </c>
      <c r="AT584" s="28">
        <f t="shared" si="193"/>
        <v>0</v>
      </c>
      <c r="AU584" s="28">
        <f>+P584-'[6]Приложение №1'!$P554</f>
        <v>0</v>
      </c>
      <c r="AV584" s="28">
        <f>+Q584-'[6]Приложение №1'!$Q554</f>
        <v>0</v>
      </c>
      <c r="AW584" s="28">
        <f>+R584-'[6]Приложение №1'!$R554</f>
        <v>0</v>
      </c>
      <c r="AX584" s="28">
        <f>+S584-'[6]Приложение №1'!$S554</f>
        <v>0</v>
      </c>
      <c r="AY584" s="28">
        <f>+T584-'[6]Приложение №1'!$T554</f>
        <v>250556.92669027299</v>
      </c>
    </row>
    <row r="585" spans="1:51" x14ac:dyDescent="0.25">
      <c r="A585" s="139">
        <f t="shared" si="195"/>
        <v>566</v>
      </c>
      <c r="B585" s="140">
        <f t="shared" si="196"/>
        <v>104</v>
      </c>
      <c r="C585" s="120" t="s">
        <v>51</v>
      </c>
      <c r="D585" s="120" t="s">
        <v>518</v>
      </c>
      <c r="E585" s="121">
        <v>1970</v>
      </c>
      <c r="F585" s="121">
        <v>2017</v>
      </c>
      <c r="G585" s="121" t="s">
        <v>43</v>
      </c>
      <c r="H585" s="121">
        <v>5</v>
      </c>
      <c r="I585" s="121">
        <v>2</v>
      </c>
      <c r="J585" s="107">
        <v>1774.6</v>
      </c>
      <c r="K585" s="107">
        <v>1596.4</v>
      </c>
      <c r="L585" s="107">
        <v>0</v>
      </c>
      <c r="M585" s="122">
        <v>61</v>
      </c>
      <c r="N585" s="123">
        <f t="shared" si="198"/>
        <v>5448578.1979546407</v>
      </c>
      <c r="O585" s="107"/>
      <c r="P585" s="108">
        <f>+'Приложение №2'!E585-'Приложение №1'!R585-'Приложение №1'!S585</f>
        <v>0</v>
      </c>
      <c r="Q585" s="108"/>
      <c r="R585" s="108">
        <f t="shared" si="205"/>
        <v>449546.89999999997</v>
      </c>
      <c r="S585" s="108">
        <f>+'Приложение №2'!E585-'Приложение №1'!R585</f>
        <v>4999031.2979546404</v>
      </c>
      <c r="T585" s="108">
        <f>+'Приложение №2'!E585-'Приложение №1'!P585-'Приложение №1'!R585-'Приложение №1'!S585</f>
        <v>0</v>
      </c>
      <c r="U585" s="108">
        <f t="shared" si="192"/>
        <v>3413.0407153311453</v>
      </c>
      <c r="V585" s="108">
        <v>1272.2830200640001</v>
      </c>
      <c r="W585" s="135">
        <v>2024</v>
      </c>
      <c r="X585" s="28" t="e">
        <f>+#REF!-'[1]Приложение №1'!$P409</f>
        <v>#REF!</v>
      </c>
      <c r="Z585" s="30">
        <f>SUM(AA585:AO585)</f>
        <v>9973803.0700000003</v>
      </c>
      <c r="AA585" s="26">
        <v>3804046.6453625998</v>
      </c>
      <c r="AB585" s="26">
        <v>1355538.2084109599</v>
      </c>
      <c r="AC585" s="26">
        <v>0</v>
      </c>
      <c r="AD585" s="26">
        <v>0</v>
      </c>
      <c r="AE585" s="26"/>
      <c r="AF585" s="26"/>
      <c r="AG585" s="26">
        <v>0</v>
      </c>
      <c r="AH585" s="26">
        <v>0</v>
      </c>
      <c r="AI585" s="26">
        <v>0</v>
      </c>
      <c r="AJ585" s="26">
        <v>0</v>
      </c>
      <c r="AK585" s="26">
        <v>3610744.2460324201</v>
      </c>
      <c r="AL585" s="26">
        <v>0</v>
      </c>
      <c r="AM585" s="26">
        <v>911946.60499999998</v>
      </c>
      <c r="AN585" s="31">
        <v>99738.030700000003</v>
      </c>
      <c r="AO585" s="32">
        <v>191789.33449402</v>
      </c>
      <c r="AP585" s="77">
        <f>+N585-'Приложение №2'!E585</f>
        <v>0</v>
      </c>
      <c r="AQ585" s="1">
        <f>638025.43-84643.55-266667.78</f>
        <v>286714.09999999998</v>
      </c>
      <c r="AR585" s="1">
        <f t="shared" si="203"/>
        <v>162832.79999999999</v>
      </c>
      <c r="AS585" s="1">
        <f>+(K585*10+L585*20)*12*30-19875.37-568427.42</f>
        <v>5158737.21</v>
      </c>
      <c r="AT585" s="28">
        <f t="shared" si="193"/>
        <v>-159705.91204535961</v>
      </c>
      <c r="AU585" s="28">
        <f>+P585-'[6]Приложение №1'!$P555</f>
        <v>0</v>
      </c>
      <c r="AV585" s="28">
        <f>+Q585-'[6]Приложение №1'!$Q555</f>
        <v>0</v>
      </c>
      <c r="AW585" s="28">
        <f>+R585-'[6]Приложение №1'!$R555</f>
        <v>0</v>
      </c>
      <c r="AX585" s="28">
        <f>+S585-'[6]Приложение №1'!$S555</f>
        <v>176163.67335464153</v>
      </c>
      <c r="AY585" s="28">
        <f>+T585-'[6]Приложение №1'!$T555</f>
        <v>0</v>
      </c>
    </row>
    <row r="586" spans="1:51" s="34" customFormat="1" x14ac:dyDescent="0.25">
      <c r="A586" s="139">
        <f t="shared" si="195"/>
        <v>567</v>
      </c>
      <c r="B586" s="140">
        <f t="shared" si="196"/>
        <v>105</v>
      </c>
      <c r="C586" s="120" t="s">
        <v>51</v>
      </c>
      <c r="D586" s="120" t="s">
        <v>519</v>
      </c>
      <c r="E586" s="121" t="s">
        <v>112</v>
      </c>
      <c r="F586" s="121"/>
      <c r="G586" s="121" t="s">
        <v>83</v>
      </c>
      <c r="H586" s="121" t="s">
        <v>101</v>
      </c>
      <c r="I586" s="121" t="s">
        <v>101</v>
      </c>
      <c r="J586" s="107">
        <v>3893.1</v>
      </c>
      <c r="K586" s="107">
        <v>3553.5</v>
      </c>
      <c r="L586" s="107">
        <v>0</v>
      </c>
      <c r="M586" s="122">
        <v>150</v>
      </c>
      <c r="N586" s="123">
        <f t="shared" si="198"/>
        <v>54110859.14588251</v>
      </c>
      <c r="O586" s="107">
        <v>0</v>
      </c>
      <c r="P586" s="108">
        <v>8517894.7578108646</v>
      </c>
      <c r="Q586" s="108">
        <v>0</v>
      </c>
      <c r="R586" s="108">
        <f t="shared" si="205"/>
        <v>1208620.8999999999</v>
      </c>
      <c r="S586" s="108">
        <f>+AS586</f>
        <v>12792600</v>
      </c>
      <c r="T586" s="108">
        <f>+'Приложение №2'!E586-'Приложение №1'!P586-'Приложение №1'!Q586-'Приложение №1'!R586-'Приложение №1'!S586</f>
        <v>31591743.488071643</v>
      </c>
      <c r="U586" s="108">
        <f t="shared" si="192"/>
        <v>15227.482523113131</v>
      </c>
      <c r="V586" s="108">
        <v>1273.2830200640001</v>
      </c>
      <c r="W586" s="135">
        <v>2024</v>
      </c>
      <c r="X586" s="34">
        <v>609180.44999999995</v>
      </c>
      <c r="Y586" s="34">
        <f>+(K586*9.1+L586*18.19)*12</f>
        <v>388042.19999999995</v>
      </c>
      <c r="AA586" s="35">
        <f>+N586-'[5]Приложение № 2'!E521</f>
        <v>45362338.425882511</v>
      </c>
      <c r="AD586" s="35">
        <f>+N586-'[5]Приложение № 2'!E521</f>
        <v>45362338.425882511</v>
      </c>
      <c r="AP586" s="77">
        <f>+N586-'Приложение №2'!E586</f>
        <v>0</v>
      </c>
      <c r="AQ586" s="34">
        <v>846163.9</v>
      </c>
      <c r="AR586" s="1">
        <f t="shared" si="203"/>
        <v>362457</v>
      </c>
      <c r="AS586" s="1">
        <f>+(K586*10+L586*20)*12*30</f>
        <v>12792600</v>
      </c>
      <c r="AT586" s="28">
        <f t="shared" si="193"/>
        <v>0</v>
      </c>
      <c r="AU586" s="28">
        <f>+P586-'[6]Приложение №1'!$P556</f>
        <v>0</v>
      </c>
      <c r="AV586" s="28">
        <f>+Q586-'[6]Приложение №1'!$Q556</f>
        <v>0</v>
      </c>
      <c r="AW586" s="28">
        <f>+R586-'[6]Приложение №1'!$R556</f>
        <v>0</v>
      </c>
      <c r="AX586" s="28">
        <f>+S586-'[6]Приложение №1'!$S556</f>
        <v>0</v>
      </c>
      <c r="AY586" s="28">
        <f>+T586-'[6]Приложение №1'!$T556</f>
        <v>0</v>
      </c>
    </row>
    <row r="587" spans="1:51" s="34" customFormat="1" x14ac:dyDescent="0.25">
      <c r="A587" s="139">
        <f t="shared" si="195"/>
        <v>568</v>
      </c>
      <c r="B587" s="140">
        <f t="shared" si="196"/>
        <v>106</v>
      </c>
      <c r="C587" s="120" t="s">
        <v>51</v>
      </c>
      <c r="D587" s="120" t="s">
        <v>520</v>
      </c>
      <c r="E587" s="121" t="s">
        <v>120</v>
      </c>
      <c r="F587" s="121"/>
      <c r="G587" s="121" t="s">
        <v>43</v>
      </c>
      <c r="H587" s="121" t="s">
        <v>104</v>
      </c>
      <c r="I587" s="121" t="s">
        <v>101</v>
      </c>
      <c r="J587" s="107">
        <v>4021.68</v>
      </c>
      <c r="K587" s="107">
        <v>3212.2</v>
      </c>
      <c r="L587" s="107">
        <v>201.5</v>
      </c>
      <c r="M587" s="122">
        <v>152</v>
      </c>
      <c r="N587" s="123">
        <f t="shared" si="198"/>
        <v>36845076.000025973</v>
      </c>
      <c r="O587" s="107">
        <v>0</v>
      </c>
      <c r="P587" s="108">
        <v>4581465.5337166088</v>
      </c>
      <c r="Q587" s="108">
        <v>0</v>
      </c>
      <c r="R587" s="108">
        <f t="shared" si="205"/>
        <v>2060779.94</v>
      </c>
      <c r="S587" s="108">
        <f>+AS587</f>
        <v>13014720</v>
      </c>
      <c r="T587" s="108">
        <f>+'Приложение №2'!E587-'Приложение №1'!P587-'Приложение №1'!R587-'Приложение №1'!S587</f>
        <v>17188110.526309364</v>
      </c>
      <c r="U587" s="108">
        <f t="shared" si="192"/>
        <v>11470.355519589681</v>
      </c>
      <c r="V587" s="108">
        <v>1274.2830200640001</v>
      </c>
      <c r="W587" s="135">
        <v>2024</v>
      </c>
      <c r="X587" s="34">
        <v>1358102.97</v>
      </c>
      <c r="Y587" s="34">
        <f>+(K587*9.1+L587*18.19)*12</f>
        <v>394755.66000000003</v>
      </c>
      <c r="AA587" s="35">
        <f>+N587-'[5]Приложение № 2'!E522</f>
        <v>34173620.635345012</v>
      </c>
      <c r="AD587" s="35">
        <f>+N587-'[5]Приложение № 2'!E522</f>
        <v>34173620.635345012</v>
      </c>
      <c r="AP587" s="77">
        <f>+N587-'Приложение №2'!E587</f>
        <v>0</v>
      </c>
      <c r="AQ587" s="1">
        <v>1692029.54</v>
      </c>
      <c r="AR587" s="1">
        <f t="shared" si="203"/>
        <v>368750.39999999997</v>
      </c>
      <c r="AS587" s="1">
        <f>+(K587*10+L587*20)*12*30</f>
        <v>13014720</v>
      </c>
      <c r="AT587" s="28">
        <f t="shared" si="193"/>
        <v>0</v>
      </c>
      <c r="AU587" s="28">
        <f>+P587-'[6]Приложение №1'!$P557</f>
        <v>0</v>
      </c>
      <c r="AV587" s="28">
        <f>+Q587-'[6]Приложение №1'!$Q557</f>
        <v>0</v>
      </c>
      <c r="AW587" s="28">
        <f>+R587-'[6]Приложение №1'!$R557</f>
        <v>0</v>
      </c>
      <c r="AX587" s="28">
        <f>+S587-'[6]Приложение №1'!$S557</f>
        <v>0</v>
      </c>
      <c r="AY587" s="28">
        <f>+T587-'[6]Приложение №1'!$T557</f>
        <v>-414380.80855707079</v>
      </c>
    </row>
    <row r="588" spans="1:51" x14ac:dyDescent="0.25">
      <c r="A588" s="139">
        <f t="shared" si="195"/>
        <v>569</v>
      </c>
      <c r="B588" s="140">
        <f t="shared" si="196"/>
        <v>107</v>
      </c>
      <c r="C588" s="120" t="s">
        <v>51</v>
      </c>
      <c r="D588" s="120" t="s">
        <v>463</v>
      </c>
      <c r="E588" s="121">
        <v>1974</v>
      </c>
      <c r="F588" s="121">
        <v>2012</v>
      </c>
      <c r="G588" s="121" t="s">
        <v>43</v>
      </c>
      <c r="H588" s="121">
        <v>4</v>
      </c>
      <c r="I588" s="121">
        <v>4</v>
      </c>
      <c r="J588" s="107">
        <v>3917</v>
      </c>
      <c r="K588" s="107">
        <v>3431.9</v>
      </c>
      <c r="L588" s="107">
        <v>0</v>
      </c>
      <c r="M588" s="122">
        <v>163</v>
      </c>
      <c r="N588" s="123">
        <f t="shared" si="198"/>
        <v>20404912.125809953</v>
      </c>
      <c r="O588" s="107"/>
      <c r="P588" s="108">
        <v>1511702.0514524882</v>
      </c>
      <c r="Q588" s="108"/>
      <c r="R588" s="108">
        <f t="shared" si="205"/>
        <v>1989936.72</v>
      </c>
      <c r="S588" s="108">
        <f>+AS588</f>
        <v>12354840</v>
      </c>
      <c r="T588" s="108">
        <f>+'Приложение №2'!E588-'Приложение №1'!P588-'Приложение №1'!R588-'Приложение №1'!S588</f>
        <v>4548433.3543574661</v>
      </c>
      <c r="U588" s="108">
        <f t="shared" si="192"/>
        <v>5945.6604579999275</v>
      </c>
      <c r="V588" s="108">
        <v>1275.2830200640001</v>
      </c>
      <c r="W588" s="135">
        <v>2024</v>
      </c>
      <c r="X588" s="28" t="e">
        <f>+#REF!-'[1]Приложение №1'!$P657</f>
        <v>#REF!</v>
      </c>
      <c r="Z588" s="30">
        <f>SUM(AA588:AO588)</f>
        <v>9641868.1699999999</v>
      </c>
      <c r="AA588" s="26">
        <v>0</v>
      </c>
      <c r="AB588" s="26">
        <v>0</v>
      </c>
      <c r="AC588" s="26">
        <v>0</v>
      </c>
      <c r="AD588" s="26">
        <v>0</v>
      </c>
      <c r="AE588" s="26">
        <v>0</v>
      </c>
      <c r="AF588" s="26"/>
      <c r="AG588" s="26">
        <v>0</v>
      </c>
      <c r="AH588" s="26">
        <v>0</v>
      </c>
      <c r="AI588" s="26">
        <v>0</v>
      </c>
      <c r="AJ588" s="26">
        <v>0</v>
      </c>
      <c r="AK588" s="26">
        <v>0</v>
      </c>
      <c r="AL588" s="26">
        <v>8397623.6501341797</v>
      </c>
      <c r="AM588" s="26">
        <v>964186.81700000004</v>
      </c>
      <c r="AN588" s="31">
        <v>96418.681700000001</v>
      </c>
      <c r="AO588" s="32">
        <v>183639.02116581998</v>
      </c>
      <c r="AP588" s="77">
        <f>+N588-'Приложение №2'!E588</f>
        <v>0</v>
      </c>
      <c r="AQ588" s="34">
        <v>1639882.92</v>
      </c>
      <c r="AR588" s="1">
        <f t="shared" si="203"/>
        <v>350053.8</v>
      </c>
      <c r="AS588" s="1">
        <f>+(K588*10+L588*20)*12*30</f>
        <v>12354840</v>
      </c>
      <c r="AT588" s="28">
        <f t="shared" si="193"/>
        <v>0</v>
      </c>
      <c r="AU588" s="28">
        <f>+P588-'[6]Приложение №1'!$P558</f>
        <v>0</v>
      </c>
      <c r="AV588" s="28">
        <f>+Q588-'[6]Приложение №1'!$Q558</f>
        <v>0</v>
      </c>
      <c r="AW588" s="28">
        <f>+R588-'[6]Приложение №1'!$R558</f>
        <v>0</v>
      </c>
      <c r="AX588" s="28">
        <f>+S588-'[6]Приложение №1'!$S558</f>
        <v>0</v>
      </c>
      <c r="AY588" s="28">
        <f>+T588-'[6]Приложение №1'!$T558</f>
        <v>0</v>
      </c>
    </row>
    <row r="589" spans="1:51" s="34" customFormat="1" x14ac:dyDescent="0.25">
      <c r="A589" s="139">
        <f t="shared" si="195"/>
        <v>570</v>
      </c>
      <c r="B589" s="140">
        <f t="shared" si="196"/>
        <v>108</v>
      </c>
      <c r="C589" s="120" t="s">
        <v>51</v>
      </c>
      <c r="D589" s="120" t="s">
        <v>521</v>
      </c>
      <c r="E589" s="121" t="s">
        <v>110</v>
      </c>
      <c r="F589" s="121"/>
      <c r="G589" s="121" t="s">
        <v>43</v>
      </c>
      <c r="H589" s="121" t="s">
        <v>101</v>
      </c>
      <c r="I589" s="121" t="s">
        <v>101</v>
      </c>
      <c r="J589" s="107">
        <v>3131.3</v>
      </c>
      <c r="K589" s="107">
        <v>2721.1</v>
      </c>
      <c r="L589" s="107">
        <v>64.900000000000006</v>
      </c>
      <c r="M589" s="122">
        <v>111</v>
      </c>
      <c r="N589" s="123">
        <f t="shared" si="198"/>
        <v>24475604.160000004</v>
      </c>
      <c r="O589" s="107">
        <v>0</v>
      </c>
      <c r="P589" s="108">
        <v>3119886.4825000009</v>
      </c>
      <c r="Q589" s="108">
        <v>0</v>
      </c>
      <c r="R589" s="108">
        <f t="shared" si="205"/>
        <v>1715789.03</v>
      </c>
      <c r="S589" s="108">
        <f>+AS589</f>
        <v>10263240</v>
      </c>
      <c r="T589" s="108">
        <f>+'Приложение №2'!E589-'Приложение №1'!P589-'Приложение №1'!R589-'Приложение №1'!S589</f>
        <v>9376688.6475000009</v>
      </c>
      <c r="U589" s="108">
        <f t="shared" si="192"/>
        <v>8994.7463011282216</v>
      </c>
      <c r="V589" s="108">
        <v>1276.2830200640001</v>
      </c>
      <c r="W589" s="135">
        <v>2024</v>
      </c>
      <c r="X589" s="34">
        <v>1106960.28</v>
      </c>
      <c r="Y589" s="34">
        <f>+(K589*9.1+L589*18.19)*12</f>
        <v>311310.49199999997</v>
      </c>
      <c r="AA589" s="35">
        <f>+N589-'[5]Приложение № 2'!E524</f>
        <v>2927444.1600000039</v>
      </c>
      <c r="AD589" s="35">
        <f>+N589-'[5]Приложение № 2'!E524</f>
        <v>2927444.1600000039</v>
      </c>
      <c r="AP589" s="77">
        <f>+N589-'Приложение №2'!E589</f>
        <v>0</v>
      </c>
      <c r="AQ589" s="34">
        <v>1424997.23</v>
      </c>
      <c r="AR589" s="1">
        <f t="shared" si="203"/>
        <v>290791.8</v>
      </c>
      <c r="AS589" s="1">
        <f>+(K589*10+L589*20)*12*30</f>
        <v>10263240</v>
      </c>
      <c r="AT589" s="28">
        <f t="shared" si="193"/>
        <v>0</v>
      </c>
      <c r="AU589" s="28">
        <f>+P589-'[6]Приложение №1'!$P559</f>
        <v>0</v>
      </c>
      <c r="AV589" s="28">
        <f>+Q589-'[6]Приложение №1'!$Q559</f>
        <v>0</v>
      </c>
      <c r="AW589" s="28">
        <f>+R589-'[6]Приложение №1'!$R559</f>
        <v>0</v>
      </c>
      <c r="AX589" s="28">
        <f>+S589-'[6]Приложение №1'!$S559</f>
        <v>0</v>
      </c>
      <c r="AY589" s="28">
        <f>+T589-'[6]Приложение №1'!$T559</f>
        <v>0</v>
      </c>
    </row>
    <row r="590" spans="1:51" x14ac:dyDescent="0.25">
      <c r="A590" s="139">
        <f t="shared" si="195"/>
        <v>571</v>
      </c>
      <c r="B590" s="140">
        <f t="shared" si="196"/>
        <v>109</v>
      </c>
      <c r="C590" s="120" t="s">
        <v>51</v>
      </c>
      <c r="D590" s="120" t="s">
        <v>403</v>
      </c>
      <c r="E590" s="121">
        <v>1974</v>
      </c>
      <c r="F590" s="121">
        <v>2013</v>
      </c>
      <c r="G590" s="121" t="s">
        <v>83</v>
      </c>
      <c r="H590" s="121">
        <v>4</v>
      </c>
      <c r="I590" s="121">
        <v>4</v>
      </c>
      <c r="J590" s="107">
        <v>3890.5</v>
      </c>
      <c r="K590" s="107">
        <v>3406.6</v>
      </c>
      <c r="L590" s="107">
        <v>0</v>
      </c>
      <c r="M590" s="122">
        <v>175</v>
      </c>
      <c r="N590" s="123">
        <f t="shared" si="198"/>
        <v>6100397.4727052627</v>
      </c>
      <c r="O590" s="107"/>
      <c r="P590" s="108">
        <v>1145305.2433538393</v>
      </c>
      <c r="Q590" s="108"/>
      <c r="R590" s="108">
        <f>+AR590</f>
        <v>347473.2</v>
      </c>
      <c r="S590" s="108"/>
      <c r="T590" s="108">
        <f>+'Приложение №2'!E590-'Приложение №1'!P590-'Приложение №1'!R590-'Приложение №1'!S590</f>
        <v>4607619.0293514235</v>
      </c>
      <c r="U590" s="108">
        <f t="shared" si="192"/>
        <v>1790.7583727779202</v>
      </c>
      <c r="V590" s="108">
        <v>1277.2830200640001</v>
      </c>
      <c r="W590" s="135">
        <v>2024</v>
      </c>
      <c r="X590" s="28" t="e">
        <f>+#REF!-'[1]Приложение №1'!$P1436</f>
        <v>#REF!</v>
      </c>
      <c r="Z590" s="30">
        <f t="shared" ref="Z590:Z597" si="206">SUM(AA590:AO590)</f>
        <v>6381512.8399999999</v>
      </c>
      <c r="AA590" s="26">
        <v>5682903.1033538394</v>
      </c>
      <c r="AB590" s="26">
        <v>0</v>
      </c>
      <c r="AC590" s="26">
        <v>0</v>
      </c>
      <c r="AD590" s="26">
        <v>0</v>
      </c>
      <c r="AE590" s="26">
        <v>0</v>
      </c>
      <c r="AF590" s="26"/>
      <c r="AG590" s="26">
        <v>0</v>
      </c>
      <c r="AH590" s="26">
        <v>0</v>
      </c>
      <c r="AI590" s="26">
        <v>0</v>
      </c>
      <c r="AJ590" s="26">
        <v>0</v>
      </c>
      <c r="AK590" s="26">
        <v>0</v>
      </c>
      <c r="AL590" s="26">
        <v>0</v>
      </c>
      <c r="AM590" s="26">
        <v>510521.02720000001</v>
      </c>
      <c r="AN590" s="31">
        <v>63815.128400000001</v>
      </c>
      <c r="AO590" s="32">
        <v>124273.58104615999</v>
      </c>
      <c r="AP590" s="77">
        <f>+N590-'Приложение №2'!E590</f>
        <v>0</v>
      </c>
      <c r="AQ590" s="28">
        <f>1535272.52-R289</f>
        <v>1187799.32</v>
      </c>
      <c r="AR590" s="1">
        <f t="shared" si="203"/>
        <v>347473.2</v>
      </c>
      <c r="AS590" s="1">
        <f>+(K590*10+L590*20)*12*30-S289</f>
        <v>12237276.051890001</v>
      </c>
      <c r="AT590" s="28">
        <f t="shared" si="193"/>
        <v>-12237276.051890001</v>
      </c>
      <c r="AU590" s="28">
        <f>+P590-'[6]Приложение №1'!$P560</f>
        <v>0</v>
      </c>
      <c r="AV590" s="28">
        <f>+Q590-'[6]Приложение №1'!$Q560</f>
        <v>0</v>
      </c>
      <c r="AW590" s="28">
        <f>+R590-'[6]Приложение №1'!$R560</f>
        <v>0</v>
      </c>
      <c r="AX590" s="28">
        <f>+S590-'[6]Приложение №1'!$S560</f>
        <v>0</v>
      </c>
      <c r="AY590" s="28">
        <f>+T590-'[6]Приложение №1'!$T560</f>
        <v>293220.78830526303</v>
      </c>
    </row>
    <row r="591" spans="1:51" x14ac:dyDescent="0.25">
      <c r="A591" s="139">
        <f t="shared" si="195"/>
        <v>572</v>
      </c>
      <c r="B591" s="140">
        <f t="shared" si="196"/>
        <v>110</v>
      </c>
      <c r="C591" s="120" t="s">
        <v>51</v>
      </c>
      <c r="D591" s="120" t="s">
        <v>522</v>
      </c>
      <c r="E591" s="121">
        <v>1979</v>
      </c>
      <c r="F591" s="121">
        <v>2013</v>
      </c>
      <c r="G591" s="121" t="s">
        <v>43</v>
      </c>
      <c r="H591" s="121">
        <v>5</v>
      </c>
      <c r="I591" s="121">
        <v>4</v>
      </c>
      <c r="J591" s="107">
        <v>3602.3</v>
      </c>
      <c r="K591" s="107">
        <v>3466.4</v>
      </c>
      <c r="L591" s="107">
        <v>0</v>
      </c>
      <c r="M591" s="122">
        <v>87</v>
      </c>
      <c r="N591" s="123">
        <f t="shared" si="198"/>
        <v>18828006.782067001</v>
      </c>
      <c r="O591" s="107"/>
      <c r="P591" s="108">
        <v>1067670.11489175</v>
      </c>
      <c r="Q591" s="108"/>
      <c r="R591" s="108">
        <f>+AQ591+AR591</f>
        <v>2077227.6700000002</v>
      </c>
      <c r="S591" s="108">
        <f t="shared" ref="S591:S596" si="207">+AS591</f>
        <v>12479040</v>
      </c>
      <c r="T591" s="108">
        <f>+'Приложение №2'!E591-'Приложение №1'!P591-'Приложение №1'!R591-'Приложение №1'!S591</f>
        <v>3204068.9971752521</v>
      </c>
      <c r="U591" s="108">
        <f t="shared" si="192"/>
        <v>5431.5736158743939</v>
      </c>
      <c r="V591" s="108">
        <v>1278.2830200640001</v>
      </c>
      <c r="W591" s="135">
        <v>2024</v>
      </c>
      <c r="X591" s="28" t="e">
        <f>+#REF!-'[1]Приложение №1'!$P1021</f>
        <v>#REF!</v>
      </c>
      <c r="Z591" s="30">
        <f t="shared" si="206"/>
        <v>20589034.119999997</v>
      </c>
      <c r="AA591" s="26">
        <v>9020010.4696379993</v>
      </c>
      <c r="AB591" s="26">
        <v>3231794.773788</v>
      </c>
      <c r="AC591" s="26">
        <v>3412556.6672820002</v>
      </c>
      <c r="AD591" s="26">
        <v>2178146.6737379995</v>
      </c>
      <c r="AE591" s="26">
        <v>1610487.0989339999</v>
      </c>
      <c r="AF591" s="26"/>
      <c r="AG591" s="26">
        <v>324068.03834999999</v>
      </c>
      <c r="AH591" s="26">
        <v>0</v>
      </c>
      <c r="AI591" s="26">
        <v>0</v>
      </c>
      <c r="AJ591" s="26">
        <v>0</v>
      </c>
      <c r="AK591" s="26">
        <v>0</v>
      </c>
      <c r="AL591" s="26">
        <v>0</v>
      </c>
      <c r="AM591" s="26">
        <v>334025.17</v>
      </c>
      <c r="AN591" s="26">
        <v>45460.9</v>
      </c>
      <c r="AO591" s="32">
        <v>432484.32827000006</v>
      </c>
      <c r="AP591" s="77">
        <f>+N591-'Приложение №2'!E591</f>
        <v>0</v>
      </c>
      <c r="AQ591" s="1">
        <v>1723654.87</v>
      </c>
      <c r="AR591" s="1">
        <f t="shared" si="203"/>
        <v>353572.8</v>
      </c>
      <c r="AS591" s="1">
        <f>+(K591*10+L591*20)*12*30</f>
        <v>12479040</v>
      </c>
      <c r="AT591" s="28">
        <f t="shared" si="193"/>
        <v>0</v>
      </c>
      <c r="AU591" s="28">
        <f>+P591-'[6]Приложение №1'!$P561</f>
        <v>0</v>
      </c>
      <c r="AV591" s="28">
        <f>+Q591-'[6]Приложение №1'!$Q561</f>
        <v>0</v>
      </c>
      <c r="AW591" s="28">
        <f>+R591-'[6]Приложение №1'!$R561</f>
        <v>0</v>
      </c>
      <c r="AX591" s="28">
        <f>+S591-'[6]Приложение №1'!$S561</f>
        <v>0</v>
      </c>
      <c r="AY591" s="28">
        <f>+T591-'[6]Приложение №1'!$T561</f>
        <v>688.45250000059605</v>
      </c>
    </row>
    <row r="592" spans="1:51" x14ac:dyDescent="0.25">
      <c r="A592" s="139">
        <f t="shared" si="195"/>
        <v>573</v>
      </c>
      <c r="B592" s="140">
        <f t="shared" si="196"/>
        <v>111</v>
      </c>
      <c r="C592" s="120" t="s">
        <v>51</v>
      </c>
      <c r="D592" s="120" t="s">
        <v>406</v>
      </c>
      <c r="E592" s="121">
        <v>1977</v>
      </c>
      <c r="F592" s="121">
        <v>2013</v>
      </c>
      <c r="G592" s="121" t="s">
        <v>83</v>
      </c>
      <c r="H592" s="121">
        <v>5</v>
      </c>
      <c r="I592" s="121">
        <v>4</v>
      </c>
      <c r="J592" s="107">
        <v>3776.9</v>
      </c>
      <c r="K592" s="107">
        <v>3428.1</v>
      </c>
      <c r="L592" s="107">
        <v>0</v>
      </c>
      <c r="M592" s="122">
        <v>165</v>
      </c>
      <c r="N592" s="123">
        <f t="shared" si="198"/>
        <v>20234536.945299998</v>
      </c>
      <c r="O592" s="107"/>
      <c r="P592" s="108">
        <v>2077670.4749999989</v>
      </c>
      <c r="Q592" s="108"/>
      <c r="R592" s="108">
        <f>+AQ592+AR592</f>
        <v>2069895.47</v>
      </c>
      <c r="S592" s="108">
        <f t="shared" si="207"/>
        <v>12341160</v>
      </c>
      <c r="T592" s="108">
        <f>+'Приложение №2'!E592-'Приложение №1'!P592-'Приложение №1'!R592-'Приложение №1'!S592</f>
        <v>3745811.0002999995</v>
      </c>
      <c r="U592" s="108">
        <f t="shared" si="192"/>
        <v>5902.5515432163584</v>
      </c>
      <c r="V592" s="108">
        <v>1279.2830200640001</v>
      </c>
      <c r="W592" s="135">
        <v>2024</v>
      </c>
      <c r="X592" s="28" t="e">
        <f>+#REF!-'[1]Приложение №1'!$P455</f>
        <v>#REF!</v>
      </c>
      <c r="Z592" s="30">
        <f t="shared" si="206"/>
        <v>11360184.469999999</v>
      </c>
      <c r="AA592" s="26">
        <v>3337702.3199999994</v>
      </c>
      <c r="AB592" s="26">
        <v>1996791.3600000003</v>
      </c>
      <c r="AC592" s="26">
        <v>1053038.83</v>
      </c>
      <c r="AD592" s="26">
        <v>1225903.6200000001</v>
      </c>
      <c r="AE592" s="26"/>
      <c r="AF592" s="26"/>
      <c r="AG592" s="26"/>
      <c r="AH592" s="26">
        <v>0</v>
      </c>
      <c r="AI592" s="26">
        <v>3746748.34</v>
      </c>
      <c r="AJ592" s="26">
        <v>0</v>
      </c>
      <c r="AK592" s="26"/>
      <c r="AL592" s="26"/>
      <c r="AM592" s="26"/>
      <c r="AN592" s="31"/>
      <c r="AO592" s="32"/>
      <c r="AP592" s="77">
        <f>+N592-'Приложение №2'!E592</f>
        <v>0</v>
      </c>
      <c r="AQ592" s="1">
        <v>1720229.27</v>
      </c>
      <c r="AR592" s="1">
        <f t="shared" si="203"/>
        <v>349666.2</v>
      </c>
      <c r="AS592" s="1">
        <f>+(K592*10+L592*20)*12*30</f>
        <v>12341160</v>
      </c>
      <c r="AT592" s="28">
        <f t="shared" si="193"/>
        <v>0</v>
      </c>
      <c r="AU592" s="28">
        <f>+P592-'[6]Приложение №1'!$P562</f>
        <v>0</v>
      </c>
      <c r="AV592" s="28">
        <f>+Q592-'[6]Приложение №1'!$Q562</f>
        <v>0</v>
      </c>
      <c r="AW592" s="28">
        <f>+R592-'[6]Приложение №1'!$R562</f>
        <v>0</v>
      </c>
      <c r="AX592" s="28">
        <f>+S592-'[6]Приложение №1'!$S562</f>
        <v>0</v>
      </c>
      <c r="AY592" s="28">
        <f>+T592-'[6]Приложение №1'!$T562</f>
        <v>0</v>
      </c>
    </row>
    <row r="593" spans="1:51" x14ac:dyDescent="0.25">
      <c r="A593" s="139">
        <f t="shared" si="195"/>
        <v>574</v>
      </c>
      <c r="B593" s="140">
        <f t="shared" si="196"/>
        <v>112</v>
      </c>
      <c r="C593" s="120" t="s">
        <v>51</v>
      </c>
      <c r="D593" s="120" t="s">
        <v>407</v>
      </c>
      <c r="E593" s="121">
        <v>1978</v>
      </c>
      <c r="F593" s="121">
        <v>2008</v>
      </c>
      <c r="G593" s="121" t="s">
        <v>83</v>
      </c>
      <c r="H593" s="121">
        <v>5</v>
      </c>
      <c r="I593" s="121">
        <v>4</v>
      </c>
      <c r="J593" s="107">
        <v>3883.8</v>
      </c>
      <c r="K593" s="107">
        <v>3458.3</v>
      </c>
      <c r="L593" s="107">
        <v>0</v>
      </c>
      <c r="M593" s="122">
        <v>222</v>
      </c>
      <c r="N593" s="123">
        <f t="shared" ref="N593" si="208">+P593+Q593+R593+S593+T593</f>
        <v>22993708.713272527</v>
      </c>
      <c r="O593" s="107"/>
      <c r="P593" s="108">
        <f>+'Приложение №2'!E593-'Приложение №1'!R593-'Приложение №1'!S593-'Приложение №1'!T593</f>
        <v>285164.34761833027</v>
      </c>
      <c r="Q593" s="108"/>
      <c r="R593" s="108">
        <f>+AQ593+AR593</f>
        <v>1329294.18</v>
      </c>
      <c r="S593" s="108">
        <f t="shared" si="207"/>
        <v>3666946.9156541992</v>
      </c>
      <c r="T593" s="108">
        <f>17406678.25+305625.02</f>
        <v>17712303.27</v>
      </c>
      <c r="U593" s="108"/>
      <c r="V593" s="108"/>
      <c r="W593" s="135">
        <v>2024</v>
      </c>
      <c r="X593" s="28"/>
      <c r="Z593" s="30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31"/>
      <c r="AO593" s="32"/>
      <c r="AP593" s="77">
        <f>+N593-'Приложение №2'!E593</f>
        <v>0</v>
      </c>
      <c r="AQ593" s="28">
        <f>1653003.71+AR84-R84</f>
        <v>976547.58</v>
      </c>
      <c r="AR593" s="1">
        <f t="shared" si="203"/>
        <v>352746.6</v>
      </c>
      <c r="AS593" s="1">
        <f>+(K593*10+L593*20)*12*30-S84</f>
        <v>3666946.9156541992</v>
      </c>
      <c r="AT593" s="28"/>
      <c r="AU593" s="28"/>
      <c r="AV593" s="28"/>
      <c r="AW593" s="28"/>
      <c r="AX593" s="28"/>
      <c r="AY593" s="28"/>
    </row>
    <row r="594" spans="1:51" x14ac:dyDescent="0.25">
      <c r="A594" s="139">
        <f t="shared" si="195"/>
        <v>575</v>
      </c>
      <c r="B594" s="140">
        <f t="shared" si="196"/>
        <v>113</v>
      </c>
      <c r="C594" s="120" t="s">
        <v>51</v>
      </c>
      <c r="D594" s="120" t="s">
        <v>466</v>
      </c>
      <c r="E594" s="121">
        <v>1978</v>
      </c>
      <c r="F594" s="121">
        <v>2008</v>
      </c>
      <c r="G594" s="121" t="s">
        <v>83</v>
      </c>
      <c r="H594" s="121">
        <v>5</v>
      </c>
      <c r="I594" s="121">
        <v>4</v>
      </c>
      <c r="J594" s="107">
        <v>4929.7</v>
      </c>
      <c r="K594" s="107">
        <v>4335.1000000000004</v>
      </c>
      <c r="L594" s="107">
        <v>0</v>
      </c>
      <c r="M594" s="122">
        <v>213</v>
      </c>
      <c r="N594" s="123">
        <f t="shared" si="198"/>
        <v>4542546.6355299996</v>
      </c>
      <c r="O594" s="107"/>
      <c r="P594" s="108">
        <v>1222282.7049824998</v>
      </c>
      <c r="Q594" s="108"/>
      <c r="R594" s="108">
        <f>+AR594</f>
        <v>442180.2</v>
      </c>
      <c r="S594" s="108">
        <f t="shared" si="207"/>
        <v>0</v>
      </c>
      <c r="T594" s="108">
        <f>+'Приложение №2'!E594-'Приложение №1'!P594-'Приложение №1'!R594-'Приложение №1'!S594</f>
        <v>2878083.7305474998</v>
      </c>
      <c r="U594" s="108">
        <f t="shared" si="192"/>
        <v>1047.8527912920115</v>
      </c>
      <c r="V594" s="108">
        <v>1280.2830200640001</v>
      </c>
      <c r="W594" s="135">
        <v>2024</v>
      </c>
      <c r="X594" s="28" t="e">
        <f>+#REF!-'[1]Приложение №1'!$P1140</f>
        <v>#REF!</v>
      </c>
      <c r="Z594" s="30">
        <f t="shared" si="206"/>
        <v>44837101.50993</v>
      </c>
      <c r="AA594" s="26">
        <v>0</v>
      </c>
      <c r="AB594" s="26">
        <v>4199173.3275891002</v>
      </c>
      <c r="AC594" s="26">
        <v>4438837.1277801599</v>
      </c>
      <c r="AD594" s="26">
        <v>3384651.0431630402</v>
      </c>
      <c r="AE594" s="26">
        <v>1471946.54</v>
      </c>
      <c r="AF594" s="26"/>
      <c r="AG594" s="26">
        <v>360791.89596239995</v>
      </c>
      <c r="AH594" s="26">
        <v>0</v>
      </c>
      <c r="AI594" s="26">
        <v>0</v>
      </c>
      <c r="AJ594" s="26">
        <v>0</v>
      </c>
      <c r="AK594" s="26">
        <v>25094924.378064241</v>
      </c>
      <c r="AL594" s="26">
        <v>0</v>
      </c>
      <c r="AM594" s="26">
        <v>4627048.3442000002</v>
      </c>
      <c r="AN594" s="31">
        <v>433511.50789999997</v>
      </c>
      <c r="AO594" s="32">
        <v>826217.34527106001</v>
      </c>
      <c r="AP594" s="77">
        <f>+N594-'Приложение №2'!E594</f>
        <v>0</v>
      </c>
      <c r="AQ594" s="28">
        <f>2077071.68-R291</f>
        <v>-442180.19999999995</v>
      </c>
      <c r="AR594" s="1">
        <f t="shared" si="203"/>
        <v>442180.2</v>
      </c>
      <c r="AS594" s="1">
        <f>+(K594*10+L594*20)*12*30-S291</f>
        <v>0</v>
      </c>
      <c r="AT594" s="28">
        <f t="shared" si="193"/>
        <v>0</v>
      </c>
      <c r="AU594" s="28">
        <f>+P594-'[6]Приложение №1'!$P563</f>
        <v>0</v>
      </c>
      <c r="AV594" s="28">
        <f>+Q594-'[6]Приложение №1'!$Q563</f>
        <v>0</v>
      </c>
      <c r="AW594" s="28">
        <f>+R594-'[6]Приложение №1'!$R563</f>
        <v>0</v>
      </c>
      <c r="AX594" s="28">
        <f>+S594-'[6]Приложение №1'!$S563</f>
        <v>0</v>
      </c>
      <c r="AY594" s="28">
        <f>+T594-'[6]Приложение №1'!$T563</f>
        <v>0</v>
      </c>
    </row>
    <row r="595" spans="1:51" x14ac:dyDescent="0.25">
      <c r="A595" s="139">
        <f t="shared" si="195"/>
        <v>576</v>
      </c>
      <c r="B595" s="140">
        <f t="shared" si="196"/>
        <v>114</v>
      </c>
      <c r="C595" s="120" t="s">
        <v>51</v>
      </c>
      <c r="D595" s="120" t="s">
        <v>408</v>
      </c>
      <c r="E595" s="121">
        <v>1978</v>
      </c>
      <c r="F595" s="121">
        <v>2013</v>
      </c>
      <c r="G595" s="121" t="s">
        <v>83</v>
      </c>
      <c r="H595" s="121">
        <v>5</v>
      </c>
      <c r="I595" s="121">
        <v>4</v>
      </c>
      <c r="J595" s="107">
        <v>4866.6000000000004</v>
      </c>
      <c r="K595" s="107">
        <v>4226.8</v>
      </c>
      <c r="L595" s="107">
        <v>67</v>
      </c>
      <c r="M595" s="122">
        <v>317</v>
      </c>
      <c r="N595" s="123">
        <f t="shared" ref="N595:N617" si="209">SUM(O595:T595)</f>
        <v>25343583.591800004</v>
      </c>
      <c r="O595" s="107"/>
      <c r="P595" s="108">
        <v>4305404.6954799788</v>
      </c>
      <c r="Q595" s="108"/>
      <c r="R595" s="108">
        <f t="shared" ref="R595:R600" si="210">+AQ595+AR595</f>
        <v>1466157.9235001002</v>
      </c>
      <c r="S595" s="108">
        <f t="shared" si="207"/>
        <v>6946044.4906000076</v>
      </c>
      <c r="T595" s="108">
        <f>+'Приложение №2'!E595-'Приложение №1'!P595-'Приложение №1'!R595-'Приложение №1'!S595</f>
        <v>12625976.482219916</v>
      </c>
      <c r="U595" s="108">
        <f t="shared" si="192"/>
        <v>5995.9268457935086</v>
      </c>
      <c r="V595" s="108">
        <v>1281.2830200640001</v>
      </c>
      <c r="W595" s="135">
        <v>2024</v>
      </c>
      <c r="X595" s="28" t="e">
        <f>+#REF!-'[1]Приложение №1'!$P455</f>
        <v>#REF!</v>
      </c>
      <c r="Z595" s="30">
        <f t="shared" si="206"/>
        <v>13545152.119999999</v>
      </c>
      <c r="AA595" s="26">
        <v>4053995.74</v>
      </c>
      <c r="AB595" s="26">
        <v>2307213.9</v>
      </c>
      <c r="AC595" s="26">
        <v>1224462.97</v>
      </c>
      <c r="AD595" s="26">
        <v>1111568.24</v>
      </c>
      <c r="AE595" s="26"/>
      <c r="AF595" s="26"/>
      <c r="AG595" s="26"/>
      <c r="AH595" s="26">
        <v>0</v>
      </c>
      <c r="AI595" s="26">
        <v>4847911.2699999996</v>
      </c>
      <c r="AJ595" s="26">
        <v>0</v>
      </c>
      <c r="AK595" s="26"/>
      <c r="AL595" s="26"/>
      <c r="AM595" s="26"/>
      <c r="AN595" s="31"/>
      <c r="AO595" s="32"/>
      <c r="AP595" s="77">
        <f>+N595-'Приложение №2'!E595</f>
        <v>0</v>
      </c>
      <c r="AQ595" s="28">
        <f>2064874.72-682951.44-R85</f>
        <v>1021356.3235001003</v>
      </c>
      <c r="AR595" s="1">
        <f t="shared" si="203"/>
        <v>444801.6</v>
      </c>
      <c r="AS595" s="1">
        <f>+(K595*10+L595*20)*12*30-4953727.17-S85</f>
        <v>6946044.4906000076</v>
      </c>
      <c r="AT595" s="28">
        <f t="shared" si="193"/>
        <v>0</v>
      </c>
      <c r="AU595" s="28">
        <f>+P595-'[6]Приложение №1'!$P564</f>
        <v>0</v>
      </c>
      <c r="AV595" s="28">
        <f>+Q595-'[6]Приложение №1'!$Q564</f>
        <v>0</v>
      </c>
      <c r="AW595" s="28">
        <f>+R595-'[6]Приложение №1'!$R564</f>
        <v>0</v>
      </c>
      <c r="AX595" s="28">
        <f>+S595-'[6]Приложение №1'!$S564</f>
        <v>0</v>
      </c>
      <c r="AY595" s="28">
        <f>+T595-'[6]Приложение №1'!$T564</f>
        <v>0</v>
      </c>
    </row>
    <row r="596" spans="1:51" x14ac:dyDescent="0.25">
      <c r="A596" s="139">
        <f t="shared" si="195"/>
        <v>577</v>
      </c>
      <c r="B596" s="140">
        <f t="shared" si="196"/>
        <v>115</v>
      </c>
      <c r="C596" s="120" t="s">
        <v>51</v>
      </c>
      <c r="D596" s="120" t="s">
        <v>409</v>
      </c>
      <c r="E596" s="121">
        <v>1981</v>
      </c>
      <c r="F596" s="121">
        <v>2009</v>
      </c>
      <c r="G596" s="121" t="s">
        <v>83</v>
      </c>
      <c r="H596" s="121">
        <v>5</v>
      </c>
      <c r="I596" s="121">
        <v>4</v>
      </c>
      <c r="J596" s="107">
        <v>6938.7</v>
      </c>
      <c r="K596" s="107">
        <v>6182.6</v>
      </c>
      <c r="L596" s="107">
        <v>0</v>
      </c>
      <c r="M596" s="122">
        <v>194</v>
      </c>
      <c r="N596" s="123">
        <f t="shared" si="209"/>
        <v>36759861.869206004</v>
      </c>
      <c r="O596" s="107"/>
      <c r="P596" s="108">
        <v>8300255.7228212012</v>
      </c>
      <c r="Q596" s="108"/>
      <c r="R596" s="108">
        <f t="shared" si="210"/>
        <v>1247336.0400000003</v>
      </c>
      <c r="S596" s="108">
        <f t="shared" si="207"/>
        <v>5807839.7832261994</v>
      </c>
      <c r="T596" s="108">
        <f>+'Приложение №2'!E596-'Приложение №1'!P596-'Приложение №1'!R596-'Приложение №1'!S596</f>
        <v>21404430.323158603</v>
      </c>
      <c r="U596" s="108">
        <f t="shared" si="192"/>
        <v>5945.6962878410377</v>
      </c>
      <c r="V596" s="108">
        <v>1282.2830200640001</v>
      </c>
      <c r="W596" s="135">
        <v>2024</v>
      </c>
      <c r="X596" s="28" t="e">
        <f>+#REF!-'[1]Приложение №1'!$P1386</f>
        <v>#REF!</v>
      </c>
      <c r="Z596" s="30">
        <f t="shared" si="206"/>
        <v>112490116.45000002</v>
      </c>
      <c r="AA596" s="26">
        <v>10300846.19123742</v>
      </c>
      <c r="AB596" s="26">
        <v>5957260.9616612401</v>
      </c>
      <c r="AC596" s="26">
        <v>6297265.9176991209</v>
      </c>
      <c r="AD596" s="26">
        <v>4801718.7991861207</v>
      </c>
      <c r="AE596" s="26">
        <v>1918188.3660231601</v>
      </c>
      <c r="AF596" s="26"/>
      <c r="AG596" s="26">
        <v>511846.3343322</v>
      </c>
      <c r="AH596" s="26">
        <v>0</v>
      </c>
      <c r="AI596" s="26">
        <v>18337074.5641356</v>
      </c>
      <c r="AJ596" s="26">
        <v>0</v>
      </c>
      <c r="AK596" s="26">
        <v>35601534.275782861</v>
      </c>
      <c r="AL596" s="26">
        <v>14001626.819054702</v>
      </c>
      <c r="AM596" s="26">
        <v>11500753.575800002</v>
      </c>
      <c r="AN596" s="31">
        <v>1124901.1645</v>
      </c>
      <c r="AO596" s="32">
        <v>2137099.4805875802</v>
      </c>
      <c r="AP596" s="77">
        <f>+N596-'Приложение №2'!E596</f>
        <v>0</v>
      </c>
      <c r="AQ596" s="28">
        <f>2933225.6-137130.98-R86</f>
        <v>616710.84000000032</v>
      </c>
      <c r="AR596" s="1">
        <f t="shared" si="203"/>
        <v>630625.19999999995</v>
      </c>
      <c r="AS596" s="1">
        <f>+(K596*10+L596*20)*12*30-S86</f>
        <v>5807839.7832261994</v>
      </c>
      <c r="AT596" s="28">
        <f t="shared" si="193"/>
        <v>0</v>
      </c>
      <c r="AU596" s="28">
        <f>+P596-'[6]Приложение №1'!$P565</f>
        <v>0</v>
      </c>
      <c r="AV596" s="28">
        <f>+Q596-'[6]Приложение №1'!$Q565</f>
        <v>0</v>
      </c>
      <c r="AW596" s="28">
        <f>+R596-'[6]Приложение №1'!$R565</f>
        <v>-233304.36999999988</v>
      </c>
      <c r="AX596" s="28">
        <f>+S596-'[6]Приложение №1'!$S565</f>
        <v>233304.37000000104</v>
      </c>
      <c r="AY596" s="28">
        <f>+T596-'[6]Приложение №1'!$T565</f>
        <v>0</v>
      </c>
    </row>
    <row r="597" spans="1:51" x14ac:dyDescent="0.25">
      <c r="A597" s="139">
        <f t="shared" si="195"/>
        <v>578</v>
      </c>
      <c r="B597" s="140">
        <f t="shared" si="196"/>
        <v>116</v>
      </c>
      <c r="C597" s="120" t="s">
        <v>51</v>
      </c>
      <c r="D597" s="120" t="s">
        <v>523</v>
      </c>
      <c r="E597" s="121">
        <v>1969</v>
      </c>
      <c r="F597" s="121">
        <v>2013</v>
      </c>
      <c r="G597" s="121" t="s">
        <v>43</v>
      </c>
      <c r="H597" s="121">
        <v>5</v>
      </c>
      <c r="I597" s="121">
        <v>1</v>
      </c>
      <c r="J597" s="107">
        <v>4537.3</v>
      </c>
      <c r="K597" s="107">
        <v>1650.2</v>
      </c>
      <c r="L597" s="107">
        <v>2887.1</v>
      </c>
      <c r="M597" s="122">
        <v>209</v>
      </c>
      <c r="N597" s="123">
        <f t="shared" si="209"/>
        <v>51520579.943774581</v>
      </c>
      <c r="O597" s="107"/>
      <c r="P597" s="108">
        <v>1952415.092709831</v>
      </c>
      <c r="Q597" s="108"/>
      <c r="R597" s="108">
        <f t="shared" si="210"/>
        <v>4622259.3600000003</v>
      </c>
      <c r="S597" s="108">
        <f>+AS597</f>
        <v>26727840</v>
      </c>
      <c r="T597" s="108">
        <f>+'Приложение №2'!E597-'Приложение №1'!P597-'Приложение №1'!R597-'Приложение №1'!S597</f>
        <v>18218065.49106475</v>
      </c>
      <c r="U597" s="108">
        <f t="shared" si="192"/>
        <v>31220.809564764622</v>
      </c>
      <c r="V597" s="108">
        <v>1283.2830200640001</v>
      </c>
      <c r="W597" s="135">
        <v>2024</v>
      </c>
      <c r="X597" s="28" t="e">
        <f>+#REF!-'[1]Приложение №1'!$P414</f>
        <v>#REF!</v>
      </c>
      <c r="Z597" s="30">
        <f t="shared" si="206"/>
        <v>18609674.18474108</v>
      </c>
      <c r="AA597" s="26">
        <v>3688251.5852036397</v>
      </c>
      <c r="AB597" s="26"/>
      <c r="AC597" s="26">
        <v>1373125.6438191601</v>
      </c>
      <c r="AD597" s="26">
        <v>859663.46708760003</v>
      </c>
      <c r="AE597" s="26">
        <v>0</v>
      </c>
      <c r="AF597" s="26"/>
      <c r="AG597" s="26">
        <v>0</v>
      </c>
      <c r="AH597" s="26">
        <v>0</v>
      </c>
      <c r="AI597" s="26">
        <v>6742685.0844485993</v>
      </c>
      <c r="AJ597" s="26">
        <v>0</v>
      </c>
      <c r="AK597" s="26">
        <v>3500833.3089198</v>
      </c>
      <c r="AL597" s="26">
        <v>0</v>
      </c>
      <c r="AM597" s="26">
        <v>1863648.8813</v>
      </c>
      <c r="AN597" s="31">
        <v>199239.49849999999</v>
      </c>
      <c r="AO597" s="32">
        <v>382226.71546227997</v>
      </c>
      <c r="AP597" s="77">
        <f>+N597-'Приложение №2'!E597</f>
        <v>0</v>
      </c>
      <c r="AQ597" s="1">
        <v>3864970.56</v>
      </c>
      <c r="AR597" s="1">
        <f t="shared" si="203"/>
        <v>757288.79999999993</v>
      </c>
      <c r="AS597" s="1">
        <f>+(K597*10+L597*20)*12*30</f>
        <v>26727840</v>
      </c>
      <c r="AT597" s="28">
        <f t="shared" si="193"/>
        <v>0</v>
      </c>
      <c r="AU597" s="28">
        <f>+P597-'[6]Приложение №1'!$P566</f>
        <v>0</v>
      </c>
      <c r="AV597" s="28">
        <f>+Q597-'[6]Приложение №1'!$Q566</f>
        <v>0</v>
      </c>
      <c r="AW597" s="28">
        <f>+R597-'[6]Приложение №1'!$R566</f>
        <v>0</v>
      </c>
      <c r="AX597" s="28">
        <f>+S597-'[6]Приложение №1'!$S566</f>
        <v>17662926.518346045</v>
      </c>
      <c r="AY597" s="28">
        <f>+T597-'[6]Приложение №1'!$T566</f>
        <v>18218065.49106475</v>
      </c>
    </row>
    <row r="598" spans="1:51" x14ac:dyDescent="0.25">
      <c r="A598" s="139">
        <f t="shared" si="195"/>
        <v>579</v>
      </c>
      <c r="B598" s="140">
        <f t="shared" si="196"/>
        <v>117</v>
      </c>
      <c r="C598" s="120" t="s">
        <v>51</v>
      </c>
      <c r="D598" s="120" t="s">
        <v>524</v>
      </c>
      <c r="E598" s="121">
        <v>1999</v>
      </c>
      <c r="F598" s="121">
        <v>1999</v>
      </c>
      <c r="G598" s="121" t="s">
        <v>43</v>
      </c>
      <c r="H598" s="121">
        <v>9</v>
      </c>
      <c r="I598" s="121">
        <v>3</v>
      </c>
      <c r="J598" s="107">
        <v>8088.49</v>
      </c>
      <c r="K598" s="107">
        <v>6790.2</v>
      </c>
      <c r="L598" s="107">
        <v>225.6</v>
      </c>
      <c r="M598" s="122">
        <v>255</v>
      </c>
      <c r="N598" s="123">
        <f t="shared" si="209"/>
        <v>10774080</v>
      </c>
      <c r="O598" s="107"/>
      <c r="P598" s="108"/>
      <c r="Q598" s="108"/>
      <c r="R598" s="108">
        <f t="shared" si="210"/>
        <v>5319513.9239999996</v>
      </c>
      <c r="S598" s="108">
        <f>+'Приложение №2'!E598-'Приложение №1'!R598</f>
        <v>5454566.0760000004</v>
      </c>
      <c r="T598" s="108">
        <v>0</v>
      </c>
      <c r="U598" s="108">
        <f t="shared" si="192"/>
        <v>1586.710258902536</v>
      </c>
      <c r="V598" s="108">
        <v>1284.2830200640001</v>
      </c>
      <c r="W598" s="135">
        <v>2024</v>
      </c>
      <c r="X598" s="28"/>
      <c r="Z598" s="30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31"/>
      <c r="AO598" s="32"/>
      <c r="AP598" s="77">
        <f>+N598-'Приложение №2'!E598</f>
        <v>0</v>
      </c>
      <c r="AQ598" s="1">
        <v>4347226.7699999996</v>
      </c>
      <c r="AR598" s="1">
        <f>+(K598*13.29+L598*22.52)*12*0.85</f>
        <v>972287.15399999975</v>
      </c>
      <c r="AS598" s="1">
        <f>+(K598*13.29+L598*22.52)*12*30</f>
        <v>34316017.199999996</v>
      </c>
      <c r="AT598" s="28">
        <f t="shared" si="193"/>
        <v>-28861451.123999994</v>
      </c>
      <c r="AU598" s="28">
        <f>+P598-'[6]Приложение №1'!$P567</f>
        <v>0</v>
      </c>
      <c r="AV598" s="28">
        <f>+Q598-'[6]Приложение №1'!$Q567</f>
        <v>0</v>
      </c>
      <c r="AW598" s="28">
        <f>+R598-'[6]Приложение №1'!$R567</f>
        <v>0</v>
      </c>
      <c r="AX598" s="28">
        <f>+S598-'[6]Приложение №1'!$S567</f>
        <v>0</v>
      </c>
      <c r="AY598" s="28">
        <f>+T598-'[6]Приложение №1'!$T567</f>
        <v>0</v>
      </c>
    </row>
    <row r="599" spans="1:51" x14ac:dyDescent="0.25">
      <c r="A599" s="139">
        <f t="shared" si="195"/>
        <v>580</v>
      </c>
      <c r="B599" s="140">
        <f t="shared" si="196"/>
        <v>118</v>
      </c>
      <c r="C599" s="120" t="s">
        <v>51</v>
      </c>
      <c r="D599" s="120" t="s">
        <v>411</v>
      </c>
      <c r="E599" s="121">
        <v>1990</v>
      </c>
      <c r="F599" s="121">
        <v>2005</v>
      </c>
      <c r="G599" s="121" t="s">
        <v>83</v>
      </c>
      <c r="H599" s="121">
        <v>5</v>
      </c>
      <c r="I599" s="121">
        <v>4</v>
      </c>
      <c r="J599" s="107">
        <v>4982</v>
      </c>
      <c r="K599" s="107">
        <v>4404.6000000000004</v>
      </c>
      <c r="L599" s="107">
        <v>0</v>
      </c>
      <c r="M599" s="122">
        <v>212</v>
      </c>
      <c r="N599" s="123">
        <f t="shared" si="209"/>
        <v>4577622.6535999998</v>
      </c>
      <c r="O599" s="107"/>
      <c r="P599" s="108">
        <v>1226851.3124999998</v>
      </c>
      <c r="Q599" s="108"/>
      <c r="R599" s="108">
        <f t="shared" si="210"/>
        <v>109631.77999999962</v>
      </c>
      <c r="S599" s="108">
        <v>0</v>
      </c>
      <c r="T599" s="108">
        <f>+'Приложение №2'!E599-'Приложение №1'!P599-'Приложение №1'!R599-'Приложение №1'!S599</f>
        <v>3241139.561100001</v>
      </c>
      <c r="U599" s="108">
        <f t="shared" si="192"/>
        <v>1039.2822625437043</v>
      </c>
      <c r="V599" s="108">
        <v>1285.2830200640001</v>
      </c>
      <c r="W599" s="135">
        <v>2024</v>
      </c>
      <c r="X599" s="28" t="e">
        <f>+#REF!-'[1]Приложение №1'!$P1394</f>
        <v>#REF!</v>
      </c>
      <c r="Z599" s="30">
        <f t="shared" ref="Z599:Z608" si="211">SUM(AA599:AO599)</f>
        <v>49032236.020000011</v>
      </c>
      <c r="AA599" s="26">
        <v>0</v>
      </c>
      <c r="AB599" s="26">
        <v>0</v>
      </c>
      <c r="AC599" s="26">
        <v>4479661.5288129607</v>
      </c>
      <c r="AD599" s="26">
        <v>0</v>
      </c>
      <c r="AE599" s="26">
        <v>0</v>
      </c>
      <c r="AF599" s="26"/>
      <c r="AG599" s="26">
        <v>0</v>
      </c>
      <c r="AH599" s="26">
        <v>0</v>
      </c>
      <c r="AI599" s="26">
        <v>13044373.2933948</v>
      </c>
      <c r="AJ599" s="26">
        <v>0</v>
      </c>
      <c r="AK599" s="26">
        <v>25325724.749393042</v>
      </c>
      <c r="AL599" s="26">
        <v>0</v>
      </c>
      <c r="AM599" s="26">
        <v>4755116.6318000006</v>
      </c>
      <c r="AN599" s="31">
        <v>490322.3602</v>
      </c>
      <c r="AO599" s="32">
        <v>937037.45639919979</v>
      </c>
      <c r="AP599" s="77">
        <f>+N599-'Приложение №2'!E599</f>
        <v>0</v>
      </c>
      <c r="AQ599" s="28">
        <f>2210839.58-R88</f>
        <v>-339637.42000000039</v>
      </c>
      <c r="AR599" s="1">
        <f t="shared" ref="AR599:AR606" si="212">+(K599*10+L599*20)*12*0.85</f>
        <v>449269.2</v>
      </c>
      <c r="AS599" s="1">
        <f>+(K599*10+L599*20)*12*30-S88</f>
        <v>-381470.80161215551</v>
      </c>
      <c r="AT599" s="28">
        <f t="shared" si="193"/>
        <v>381470.80161215551</v>
      </c>
      <c r="AU599" s="28">
        <f>+P599-'[6]Приложение №1'!$P568</f>
        <v>0</v>
      </c>
      <c r="AV599" s="28">
        <f>+Q599-'[6]Приложение №1'!$Q568</f>
        <v>0</v>
      </c>
      <c r="AW599" s="28">
        <f>+R599-'[6]Приложение №1'!$R568</f>
        <v>0</v>
      </c>
      <c r="AX599" s="28">
        <f>+S599-'[6]Приложение №1'!$S568</f>
        <v>0</v>
      </c>
      <c r="AY599" s="28">
        <f>+T599-'[6]Приложение №1'!$T568</f>
        <v>0</v>
      </c>
    </row>
    <row r="600" spans="1:51" x14ac:dyDescent="0.25">
      <c r="A600" s="139">
        <f t="shared" si="195"/>
        <v>581</v>
      </c>
      <c r="B600" s="140">
        <f t="shared" si="196"/>
        <v>119</v>
      </c>
      <c r="C600" s="120" t="s">
        <v>51</v>
      </c>
      <c r="D600" s="120" t="s">
        <v>525</v>
      </c>
      <c r="E600" s="121">
        <v>1985</v>
      </c>
      <c r="F600" s="121">
        <v>2013</v>
      </c>
      <c r="G600" s="121" t="s">
        <v>43</v>
      </c>
      <c r="H600" s="121">
        <v>4</v>
      </c>
      <c r="I600" s="121">
        <v>3</v>
      </c>
      <c r="J600" s="107">
        <v>4161.1499999999996</v>
      </c>
      <c r="K600" s="107">
        <v>3740.02</v>
      </c>
      <c r="L600" s="107">
        <v>392.4</v>
      </c>
      <c r="M600" s="122">
        <v>277</v>
      </c>
      <c r="N600" s="123">
        <f t="shared" si="209"/>
        <v>3562517.4807000002</v>
      </c>
      <c r="O600" s="107"/>
      <c r="P600" s="108"/>
      <c r="Q600" s="108"/>
      <c r="R600" s="108">
        <f t="shared" si="210"/>
        <v>2278497.5199999996</v>
      </c>
      <c r="S600" s="108">
        <f>+'Приложение №2'!E600-'Приложение №1'!R600</f>
        <v>1284019.9607000006</v>
      </c>
      <c r="T600" s="108">
        <v>0</v>
      </c>
      <c r="U600" s="108">
        <f t="shared" ref="U600:U663" si="213">N600/K600</f>
        <v>952.5396871407105</v>
      </c>
      <c r="V600" s="108">
        <v>1286.2830200640001</v>
      </c>
      <c r="W600" s="135">
        <v>2024</v>
      </c>
      <c r="X600" s="28" t="e">
        <f>+#REF!-'[1]Приложение №1'!$P669</f>
        <v>#REF!</v>
      </c>
      <c r="Z600" s="30">
        <f t="shared" si="211"/>
        <v>14208184.490000004</v>
      </c>
      <c r="AA600" s="26">
        <v>0</v>
      </c>
      <c r="AB600" s="26">
        <v>0</v>
      </c>
      <c r="AC600" s="26">
        <v>3486279.6066130204</v>
      </c>
      <c r="AD600" s="26">
        <v>0</v>
      </c>
      <c r="AE600" s="26">
        <v>0</v>
      </c>
      <c r="AF600" s="26"/>
      <c r="AG600" s="26">
        <v>0</v>
      </c>
      <c r="AH600" s="26">
        <v>0</v>
      </c>
      <c r="AI600" s="26">
        <v>0</v>
      </c>
      <c r="AJ600" s="26">
        <v>0</v>
      </c>
      <c r="AK600" s="26">
        <v>8888395.5076904409</v>
      </c>
      <c r="AL600" s="26">
        <v>0</v>
      </c>
      <c r="AM600" s="26">
        <v>1420818.449</v>
      </c>
      <c r="AN600" s="31">
        <v>142081.8449</v>
      </c>
      <c r="AO600" s="32">
        <v>270609.08179653995</v>
      </c>
      <c r="AP600" s="77">
        <f>+N600-'Приложение №2'!E600</f>
        <v>0</v>
      </c>
      <c r="AQ600" s="1">
        <v>1816965.88</v>
      </c>
      <c r="AR600" s="1">
        <f t="shared" si="212"/>
        <v>461531.6399999999</v>
      </c>
      <c r="AS600" s="1">
        <f t="shared" ref="AS600:AS605" si="214">+(K600*10+L600*20)*12*30</f>
        <v>16289351.999999996</v>
      </c>
      <c r="AT600" s="28">
        <f t="shared" si="193"/>
        <v>-15005332.039299995</v>
      </c>
      <c r="AU600" s="28">
        <f>+P600-'[6]Приложение №1'!$P569</f>
        <v>0</v>
      </c>
      <c r="AV600" s="28">
        <f>+Q600-'[6]Приложение №1'!$Q569</f>
        <v>0</v>
      </c>
      <c r="AW600" s="28">
        <f>+R600-'[6]Приложение №1'!$R569</f>
        <v>0</v>
      </c>
      <c r="AX600" s="28">
        <f>+S600-'[6]Приложение №1'!$S569</f>
        <v>0</v>
      </c>
      <c r="AY600" s="28">
        <f>+T600-'[6]Приложение №1'!$T569</f>
        <v>0</v>
      </c>
    </row>
    <row r="601" spans="1:51" x14ac:dyDescent="0.25">
      <c r="A601" s="139">
        <f t="shared" si="195"/>
        <v>582</v>
      </c>
      <c r="B601" s="140">
        <f t="shared" si="196"/>
        <v>120</v>
      </c>
      <c r="C601" s="120" t="s">
        <v>51</v>
      </c>
      <c r="D601" s="120" t="s">
        <v>526</v>
      </c>
      <c r="E601" s="121">
        <v>1984</v>
      </c>
      <c r="F601" s="121">
        <v>2013</v>
      </c>
      <c r="G601" s="121" t="s">
        <v>83</v>
      </c>
      <c r="H601" s="121">
        <v>4</v>
      </c>
      <c r="I601" s="121">
        <v>6</v>
      </c>
      <c r="J601" s="107">
        <v>5500.86</v>
      </c>
      <c r="K601" s="107">
        <v>4979.26</v>
      </c>
      <c r="L601" s="107">
        <v>0</v>
      </c>
      <c r="M601" s="122">
        <v>210</v>
      </c>
      <c r="N601" s="123">
        <f t="shared" si="209"/>
        <v>2323481.64</v>
      </c>
      <c r="O601" s="107"/>
      <c r="P601" s="108"/>
      <c r="Q601" s="108"/>
      <c r="R601" s="108">
        <f>+'Приложение №2'!E601</f>
        <v>2323481.64</v>
      </c>
      <c r="S601" s="108">
        <f>+'Приложение №2'!E601-'Приложение №1'!R601</f>
        <v>0</v>
      </c>
      <c r="T601" s="108">
        <v>0</v>
      </c>
      <c r="U601" s="108">
        <f t="shared" si="213"/>
        <v>466.63191719251455</v>
      </c>
      <c r="V601" s="108">
        <v>1287.2830200640001</v>
      </c>
      <c r="W601" s="135">
        <v>2024</v>
      </c>
      <c r="X601" s="28" t="e">
        <f>+#REF!-'[1]Приложение №1'!$P1045</f>
        <v>#REF!</v>
      </c>
      <c r="Z601" s="30">
        <f t="shared" si="211"/>
        <v>2299959.7400000002</v>
      </c>
      <c r="AA601" s="26">
        <v>0</v>
      </c>
      <c r="AB601" s="26">
        <v>0</v>
      </c>
      <c r="AC601" s="26">
        <v>0</v>
      </c>
      <c r="AD601" s="26">
        <v>0</v>
      </c>
      <c r="AE601" s="26">
        <v>2156118.2507340005</v>
      </c>
      <c r="AF601" s="26"/>
      <c r="AG601" s="26">
        <v>0</v>
      </c>
      <c r="AH601" s="26">
        <v>0</v>
      </c>
      <c r="AI601" s="26">
        <v>0</v>
      </c>
      <c r="AJ601" s="26">
        <v>0</v>
      </c>
      <c r="AK601" s="26">
        <v>0</v>
      </c>
      <c r="AL601" s="26">
        <v>0</v>
      </c>
      <c r="AM601" s="26">
        <v>90857.4</v>
      </c>
      <c r="AN601" s="26">
        <v>5834.15</v>
      </c>
      <c r="AO601" s="32">
        <v>47149.939266000009</v>
      </c>
      <c r="AP601" s="77">
        <f>+N601-'Приложение №2'!E601</f>
        <v>0</v>
      </c>
      <c r="AQ601" s="1">
        <v>2318218.42</v>
      </c>
      <c r="AR601" s="1">
        <f t="shared" si="212"/>
        <v>507884.52</v>
      </c>
      <c r="AS601" s="1">
        <f t="shared" si="214"/>
        <v>17925336.000000004</v>
      </c>
      <c r="AT601" s="28">
        <f t="shared" si="193"/>
        <v>-17925336.000000004</v>
      </c>
      <c r="AU601" s="28">
        <f>+P601-'[6]Приложение №1'!$P570</f>
        <v>0</v>
      </c>
      <c r="AV601" s="28">
        <f>+Q601-'[6]Приложение №1'!$Q570</f>
        <v>0</v>
      </c>
      <c r="AW601" s="28">
        <f>+R601-'[6]Приложение №1'!$R570</f>
        <v>0</v>
      </c>
      <c r="AX601" s="28">
        <f>+S601-'[6]Приложение №1'!$S570</f>
        <v>0</v>
      </c>
      <c r="AY601" s="28">
        <f>+T601-'[6]Приложение №1'!$T570</f>
        <v>0</v>
      </c>
    </row>
    <row r="602" spans="1:51" x14ac:dyDescent="0.25">
      <c r="A602" s="139">
        <f t="shared" si="195"/>
        <v>583</v>
      </c>
      <c r="B602" s="140">
        <f t="shared" si="196"/>
        <v>121</v>
      </c>
      <c r="C602" s="120" t="s">
        <v>51</v>
      </c>
      <c r="D602" s="120" t="s">
        <v>527</v>
      </c>
      <c r="E602" s="121">
        <v>1987</v>
      </c>
      <c r="F602" s="121">
        <v>2010</v>
      </c>
      <c r="G602" s="121" t="s">
        <v>43</v>
      </c>
      <c r="H602" s="121">
        <v>5</v>
      </c>
      <c r="I602" s="121">
        <v>2</v>
      </c>
      <c r="J602" s="107">
        <v>3854.65</v>
      </c>
      <c r="K602" s="107">
        <v>3186.55</v>
      </c>
      <c r="L602" s="107">
        <v>663.3</v>
      </c>
      <c r="M602" s="122">
        <v>157</v>
      </c>
      <c r="N602" s="123">
        <f t="shared" si="209"/>
        <v>1630698.28</v>
      </c>
      <c r="O602" s="107"/>
      <c r="P602" s="108"/>
      <c r="Q602" s="108"/>
      <c r="R602" s="108">
        <f>+'Приложение №2'!E602</f>
        <v>1630698.28</v>
      </c>
      <c r="S602" s="108">
        <f>+'Приложение №2'!E602-'Приложение №1'!R602</f>
        <v>0</v>
      </c>
      <c r="T602" s="108">
        <v>0</v>
      </c>
      <c r="U602" s="108">
        <f t="shared" si="213"/>
        <v>511.74413707614815</v>
      </c>
      <c r="V602" s="108">
        <v>1288.2830200640001</v>
      </c>
      <c r="W602" s="135">
        <v>2024</v>
      </c>
      <c r="X602" s="28" t="e">
        <f>+#REF!-'[1]Приложение №1'!$P1046</f>
        <v>#REF!</v>
      </c>
      <c r="Z602" s="30">
        <f t="shared" si="211"/>
        <v>1607265</v>
      </c>
      <c r="AA602" s="26">
        <v>0</v>
      </c>
      <c r="AB602" s="26">
        <v>0</v>
      </c>
      <c r="AC602" s="26">
        <v>0</v>
      </c>
      <c r="AD602" s="26">
        <v>0</v>
      </c>
      <c r="AE602" s="26">
        <v>1460685.5846520001</v>
      </c>
      <c r="AF602" s="26"/>
      <c r="AG602" s="26">
        <v>0</v>
      </c>
      <c r="AH602" s="26">
        <v>0</v>
      </c>
      <c r="AI602" s="26">
        <v>0</v>
      </c>
      <c r="AJ602" s="26">
        <v>0</v>
      </c>
      <c r="AK602" s="26">
        <v>0</v>
      </c>
      <c r="AL602" s="26">
        <v>0</v>
      </c>
      <c r="AM602" s="26">
        <v>107698.68</v>
      </c>
      <c r="AN602" s="26">
        <v>6938.5</v>
      </c>
      <c r="AO602" s="32">
        <v>31942.235348000006</v>
      </c>
      <c r="AP602" s="77">
        <f>+N602-'Приложение №2'!E602</f>
        <v>0</v>
      </c>
      <c r="AQ602" s="1">
        <v>2073515.11</v>
      </c>
      <c r="AR602" s="1">
        <f t="shared" si="212"/>
        <v>460341.3</v>
      </c>
      <c r="AS602" s="1">
        <f t="shared" si="214"/>
        <v>16247340</v>
      </c>
      <c r="AT602" s="28">
        <f t="shared" ref="AT602:AT665" si="215">+S602-AS602</f>
        <v>-16247340</v>
      </c>
      <c r="AU602" s="28">
        <f>+P602-'[6]Приложение №1'!$P571</f>
        <v>0</v>
      </c>
      <c r="AV602" s="28">
        <f>+Q602-'[6]Приложение №1'!$Q571</f>
        <v>0</v>
      </c>
      <c r="AW602" s="28">
        <f>+R602-'[6]Приложение №1'!$R571</f>
        <v>0</v>
      </c>
      <c r="AX602" s="28">
        <f>+S602-'[6]Приложение №1'!$S571</f>
        <v>0</v>
      </c>
      <c r="AY602" s="28">
        <f>+T602-'[6]Приложение №1'!$T571</f>
        <v>0</v>
      </c>
    </row>
    <row r="603" spans="1:51" x14ac:dyDescent="0.25">
      <c r="A603" s="139">
        <f t="shared" si="195"/>
        <v>584</v>
      </c>
      <c r="B603" s="140">
        <f t="shared" si="196"/>
        <v>122</v>
      </c>
      <c r="C603" s="120" t="s">
        <v>51</v>
      </c>
      <c r="D603" s="120" t="s">
        <v>237</v>
      </c>
      <c r="E603" s="121">
        <v>1987</v>
      </c>
      <c r="F603" s="121">
        <v>2013</v>
      </c>
      <c r="G603" s="121" t="s">
        <v>83</v>
      </c>
      <c r="H603" s="121">
        <v>5</v>
      </c>
      <c r="I603" s="121">
        <v>6</v>
      </c>
      <c r="J603" s="107">
        <v>6859.9</v>
      </c>
      <c r="K603" s="107">
        <v>6097.04</v>
      </c>
      <c r="L603" s="107">
        <v>117.7</v>
      </c>
      <c r="M603" s="122">
        <v>283</v>
      </c>
      <c r="N603" s="123">
        <f t="shared" si="209"/>
        <v>13363743.800941199</v>
      </c>
      <c r="O603" s="107"/>
      <c r="P603" s="108"/>
      <c r="Q603" s="108"/>
      <c r="R603" s="108">
        <f t="shared" ref="R603:R609" si="216">+AQ603+AR603</f>
        <v>3712329.4699999997</v>
      </c>
      <c r="S603" s="108">
        <f>+'Приложение №2'!E603-'Приложение №1'!R603</f>
        <v>9651414.3309412003</v>
      </c>
      <c r="T603" s="108">
        <v>0</v>
      </c>
      <c r="U603" s="108">
        <f t="shared" si="213"/>
        <v>2191.8412542711217</v>
      </c>
      <c r="V603" s="108">
        <v>1289.2830200640001</v>
      </c>
      <c r="W603" s="135">
        <v>2024</v>
      </c>
      <c r="X603" s="28" t="e">
        <f>+#REF!-'[1]Приложение №1'!$P1048</f>
        <v>#REF!</v>
      </c>
      <c r="Z603" s="30">
        <f t="shared" si="211"/>
        <v>34989133.449999996</v>
      </c>
      <c r="AA603" s="26">
        <v>10381481.975843159</v>
      </c>
      <c r="AB603" s="26">
        <v>6003894.8349029999</v>
      </c>
      <c r="AC603" s="26">
        <v>6346561.3828171799</v>
      </c>
      <c r="AD603" s="26">
        <v>4839307.0097500803</v>
      </c>
      <c r="AE603" s="26">
        <v>1933204.0846683602</v>
      </c>
      <c r="AF603" s="26"/>
      <c r="AG603" s="26">
        <v>515853.10536480002</v>
      </c>
      <c r="AH603" s="26">
        <v>0</v>
      </c>
      <c r="AI603" s="26">
        <v>0</v>
      </c>
      <c r="AJ603" s="26">
        <v>0</v>
      </c>
      <c r="AK603" s="26">
        <v>0</v>
      </c>
      <c r="AL603" s="26">
        <v>0</v>
      </c>
      <c r="AM603" s="26">
        <v>3962456.5102000004</v>
      </c>
      <c r="AN603" s="31">
        <v>349891.33450000006</v>
      </c>
      <c r="AO603" s="32">
        <v>656483.21195342008</v>
      </c>
      <c r="AP603" s="77">
        <f>+N603-'Приложение №2'!E603</f>
        <v>0</v>
      </c>
      <c r="AQ603" s="1">
        <v>3066420.59</v>
      </c>
      <c r="AR603" s="1">
        <f t="shared" si="212"/>
        <v>645908.88</v>
      </c>
      <c r="AS603" s="1">
        <f t="shared" si="214"/>
        <v>22796784</v>
      </c>
      <c r="AT603" s="28">
        <f t="shared" si="215"/>
        <v>-13145369.6690588</v>
      </c>
      <c r="AU603" s="28">
        <f>+P603-'[6]Приложение №1'!$P572</f>
        <v>0</v>
      </c>
      <c r="AV603" s="28">
        <f>+Q603-'[6]Приложение №1'!$Q572</f>
        <v>0</v>
      </c>
      <c r="AW603" s="28">
        <f>+R603-'[6]Приложение №1'!$R572</f>
        <v>0</v>
      </c>
      <c r="AX603" s="28">
        <f>+S603-'[6]Приложение №1'!$S572</f>
        <v>0</v>
      </c>
      <c r="AY603" s="28">
        <f>+T603-'[6]Приложение №1'!$T572</f>
        <v>0</v>
      </c>
    </row>
    <row r="604" spans="1:51" x14ac:dyDescent="0.25">
      <c r="A604" s="139">
        <f t="shared" si="195"/>
        <v>585</v>
      </c>
      <c r="B604" s="140">
        <f t="shared" si="196"/>
        <v>123</v>
      </c>
      <c r="C604" s="120" t="s">
        <v>51</v>
      </c>
      <c r="D604" s="120" t="s">
        <v>217</v>
      </c>
      <c r="E604" s="121">
        <v>1971</v>
      </c>
      <c r="F604" s="121">
        <v>2013</v>
      </c>
      <c r="G604" s="121" t="s">
        <v>43</v>
      </c>
      <c r="H604" s="121">
        <v>4</v>
      </c>
      <c r="I604" s="121">
        <v>3</v>
      </c>
      <c r="J604" s="107">
        <v>2008.51</v>
      </c>
      <c r="K604" s="107">
        <v>1482.45</v>
      </c>
      <c r="L604" s="107">
        <v>500.2</v>
      </c>
      <c r="M604" s="122">
        <v>43</v>
      </c>
      <c r="N604" s="123">
        <f t="shared" si="209"/>
        <v>2653548.6528289546</v>
      </c>
      <c r="O604" s="107"/>
      <c r="P604" s="108"/>
      <c r="Q604" s="108"/>
      <c r="R604" s="108">
        <f t="shared" si="216"/>
        <v>1398280.95</v>
      </c>
      <c r="S604" s="108">
        <f>+'Приложение №2'!E604-'Приложение №1'!R604</f>
        <v>1255267.7028289547</v>
      </c>
      <c r="T604" s="108">
        <v>0</v>
      </c>
      <c r="U604" s="108">
        <f t="shared" si="213"/>
        <v>1789.975144408887</v>
      </c>
      <c r="V604" s="108">
        <v>1290.2830200640001</v>
      </c>
      <c r="W604" s="135">
        <v>2024</v>
      </c>
      <c r="X604" s="28" t="e">
        <f>+#REF!-'[1]Приложение №1'!$P1050</f>
        <v>#REF!</v>
      </c>
      <c r="Z604" s="30">
        <f t="shared" si="211"/>
        <v>3401210.6845643353</v>
      </c>
      <c r="AA604" s="26">
        <v>0</v>
      </c>
      <c r="AB604" s="26">
        <v>1379299.4009521424</v>
      </c>
      <c r="AC604" s="26">
        <v>0</v>
      </c>
      <c r="AD604" s="26">
        <v>923467.08456419234</v>
      </c>
      <c r="AE604" s="26">
        <v>677323.96666199993</v>
      </c>
      <c r="AF604" s="26"/>
      <c r="AG604" s="26">
        <v>142086.04594799998</v>
      </c>
      <c r="AH604" s="26">
        <v>0</v>
      </c>
      <c r="AI604" s="26">
        <v>0</v>
      </c>
      <c r="AJ604" s="26">
        <v>0</v>
      </c>
      <c r="AK604" s="26">
        <v>0</v>
      </c>
      <c r="AL604" s="26">
        <v>0</v>
      </c>
      <c r="AM604" s="26">
        <v>164690.01</v>
      </c>
      <c r="AN604" s="26">
        <v>46068.5</v>
      </c>
      <c r="AO604" s="32">
        <v>68275.67643800001</v>
      </c>
      <c r="AP604" s="77">
        <f>+N604-'Приложение №2'!E604</f>
        <v>0</v>
      </c>
      <c r="AQ604" s="1">
        <v>1145030.25</v>
      </c>
      <c r="AR604" s="1">
        <f t="shared" si="212"/>
        <v>253250.69999999998</v>
      </c>
      <c r="AS604" s="1">
        <f t="shared" si="214"/>
        <v>8938260</v>
      </c>
      <c r="AT604" s="28">
        <f t="shared" si="215"/>
        <v>-7682992.2971710451</v>
      </c>
      <c r="AU604" s="28">
        <f>+P604-'[6]Приложение №1'!$P573</f>
        <v>0</v>
      </c>
      <c r="AV604" s="28">
        <f>+Q604-'[6]Приложение №1'!$Q573</f>
        <v>0</v>
      </c>
      <c r="AW604" s="28">
        <f>+R604-'[6]Приложение №1'!$R573</f>
        <v>0</v>
      </c>
      <c r="AX604" s="28">
        <f>+S604-'[6]Приложение №1'!$S573</f>
        <v>0</v>
      </c>
      <c r="AY604" s="28">
        <f>+T604-'[6]Приложение №1'!$T573</f>
        <v>0</v>
      </c>
    </row>
    <row r="605" spans="1:51" x14ac:dyDescent="0.25">
      <c r="A605" s="139">
        <f t="shared" si="195"/>
        <v>586</v>
      </c>
      <c r="B605" s="140">
        <f t="shared" si="196"/>
        <v>124</v>
      </c>
      <c r="C605" s="120" t="s">
        <v>51</v>
      </c>
      <c r="D605" s="120" t="s">
        <v>528</v>
      </c>
      <c r="E605" s="121">
        <v>1973</v>
      </c>
      <c r="F605" s="121">
        <v>2013</v>
      </c>
      <c r="G605" s="121" t="s">
        <v>83</v>
      </c>
      <c r="H605" s="121">
        <v>4</v>
      </c>
      <c r="I605" s="121">
        <v>4</v>
      </c>
      <c r="J605" s="107">
        <v>3935.6</v>
      </c>
      <c r="K605" s="107">
        <v>3459.2</v>
      </c>
      <c r="L605" s="107">
        <v>0</v>
      </c>
      <c r="M605" s="122">
        <v>162</v>
      </c>
      <c r="N605" s="123">
        <f t="shared" si="209"/>
        <v>10469460.771</v>
      </c>
      <c r="O605" s="107"/>
      <c r="P605" s="108"/>
      <c r="Q605" s="108"/>
      <c r="R605" s="108">
        <f t="shared" si="216"/>
        <v>2621907.0299999998</v>
      </c>
      <c r="S605" s="108">
        <f>+'Приложение №2'!E605-'Приложение №1'!R605</f>
        <v>7847553.7410000004</v>
      </c>
      <c r="T605" s="108">
        <v>0</v>
      </c>
      <c r="U605" s="108">
        <f t="shared" si="213"/>
        <v>3026.5554957793711</v>
      </c>
      <c r="V605" s="108">
        <v>1291.2830200640001</v>
      </c>
      <c r="W605" s="135">
        <v>2024</v>
      </c>
      <c r="X605" s="28" t="e">
        <f>+#REF!-'[1]Приложение №1'!$P1455</f>
        <v>#REF!</v>
      </c>
      <c r="Z605" s="30">
        <f t="shared" si="211"/>
        <v>11632734.189999999</v>
      </c>
      <c r="AA605" s="26">
        <v>0</v>
      </c>
      <c r="AB605" s="26">
        <v>0</v>
      </c>
      <c r="AC605" s="26">
        <v>0</v>
      </c>
      <c r="AD605" s="26">
        <v>0</v>
      </c>
      <c r="AE605" s="26">
        <v>0</v>
      </c>
      <c r="AF605" s="26"/>
      <c r="AG605" s="26">
        <v>0</v>
      </c>
      <c r="AH605" s="26">
        <v>0</v>
      </c>
      <c r="AI605" s="26">
        <v>10245414.310500599</v>
      </c>
      <c r="AJ605" s="26">
        <v>0</v>
      </c>
      <c r="AK605" s="26">
        <v>0</v>
      </c>
      <c r="AL605" s="26">
        <v>0</v>
      </c>
      <c r="AM605" s="26">
        <v>1046946.0770999999</v>
      </c>
      <c r="AN605" s="31">
        <v>116327.3419</v>
      </c>
      <c r="AO605" s="32">
        <v>224046.46049940001</v>
      </c>
      <c r="AP605" s="77">
        <f>+N605-'Приложение №2'!E605</f>
        <v>0</v>
      </c>
      <c r="AQ605" s="1">
        <v>2269068.63</v>
      </c>
      <c r="AR605" s="1">
        <f t="shared" si="212"/>
        <v>352838.39999999997</v>
      </c>
      <c r="AS605" s="1">
        <f t="shared" si="214"/>
        <v>12453120</v>
      </c>
      <c r="AT605" s="28">
        <f t="shared" si="215"/>
        <v>-4605566.2589999996</v>
      </c>
      <c r="AU605" s="28">
        <f>+P605-'[6]Приложение №1'!$P574</f>
        <v>0</v>
      </c>
      <c r="AV605" s="28">
        <f>+Q605-'[6]Приложение №1'!$Q574</f>
        <v>0</v>
      </c>
      <c r="AW605" s="28">
        <f>+R605-'[6]Приложение №1'!$R574</f>
        <v>0</v>
      </c>
      <c r="AX605" s="28">
        <f>+S605-'[6]Приложение №1'!$S574</f>
        <v>0</v>
      </c>
      <c r="AY605" s="28">
        <f>+T605-'[6]Приложение №1'!$T574</f>
        <v>0</v>
      </c>
    </row>
    <row r="606" spans="1:51" x14ac:dyDescent="0.25">
      <c r="A606" s="139">
        <f t="shared" si="195"/>
        <v>587</v>
      </c>
      <c r="B606" s="140">
        <f t="shared" si="196"/>
        <v>125</v>
      </c>
      <c r="C606" s="120" t="s">
        <v>51</v>
      </c>
      <c r="D606" s="120" t="s">
        <v>417</v>
      </c>
      <c r="E606" s="121">
        <v>1976</v>
      </c>
      <c r="F606" s="121">
        <v>2013</v>
      </c>
      <c r="G606" s="121" t="s">
        <v>83</v>
      </c>
      <c r="H606" s="121">
        <v>4</v>
      </c>
      <c r="I606" s="121">
        <v>6</v>
      </c>
      <c r="J606" s="107">
        <v>5727.3</v>
      </c>
      <c r="K606" s="107">
        <v>4928.1000000000004</v>
      </c>
      <c r="L606" s="107">
        <v>70.7</v>
      </c>
      <c r="M606" s="122">
        <v>234</v>
      </c>
      <c r="N606" s="123">
        <f t="shared" si="209"/>
        <v>5232438.4238859992</v>
      </c>
      <c r="O606" s="107"/>
      <c r="P606" s="108"/>
      <c r="Q606" s="108"/>
      <c r="R606" s="108">
        <f t="shared" si="216"/>
        <v>1946518.9788139998</v>
      </c>
      <c r="S606" s="108">
        <f>+'Приложение №2'!E606-'Приложение №1'!R606</f>
        <v>3285919.4450719994</v>
      </c>
      <c r="T606" s="108">
        <v>0</v>
      </c>
      <c r="U606" s="108">
        <f t="shared" si="213"/>
        <v>1061.7557322063267</v>
      </c>
      <c r="V606" s="108">
        <v>1292.2830200640001</v>
      </c>
      <c r="W606" s="135">
        <v>2024</v>
      </c>
      <c r="X606" s="28">
        <f>+S606-'[1]Приложение №1'!$P1153</f>
        <v>1913108.4850719993</v>
      </c>
      <c r="Z606" s="30">
        <f t="shared" si="211"/>
        <v>8101376.7311859997</v>
      </c>
      <c r="AA606" s="26">
        <v>0</v>
      </c>
      <c r="AB606" s="26">
        <v>0</v>
      </c>
      <c r="AC606" s="26">
        <v>5108867.6053762194</v>
      </c>
      <c r="AD606" s="26">
        <v>0</v>
      </c>
      <c r="AE606" s="26">
        <v>2022198.06</v>
      </c>
      <c r="AF606" s="26"/>
      <c r="AG606" s="26">
        <v>0</v>
      </c>
      <c r="AH606" s="26">
        <v>0</v>
      </c>
      <c r="AI606" s="26">
        <v>0</v>
      </c>
      <c r="AJ606" s="26">
        <v>0</v>
      </c>
      <c r="AK606" s="26">
        <v>0</v>
      </c>
      <c r="AL606" s="26">
        <v>0</v>
      </c>
      <c r="AM606" s="26">
        <v>786081.95299999998</v>
      </c>
      <c r="AN606" s="31">
        <v>60658.294300000001</v>
      </c>
      <c r="AO606" s="32">
        <v>123570.81850978</v>
      </c>
      <c r="AP606" s="77">
        <f>+N606-'Приложение №2'!E606</f>
        <v>0</v>
      </c>
      <c r="AQ606" s="28">
        <f>1703489.35-R95</f>
        <v>1429429.9788139998</v>
      </c>
      <c r="AR606" s="1">
        <f t="shared" si="212"/>
        <v>517089</v>
      </c>
      <c r="AS606" s="1">
        <f>+(K606*10+L606*20)*12*30-S95</f>
        <v>17784196.41</v>
      </c>
      <c r="AT606" s="28">
        <f t="shared" si="215"/>
        <v>-14498276.964928001</v>
      </c>
      <c r="AU606" s="28">
        <f>+P606-'[6]Приложение №1'!$P575</f>
        <v>0</v>
      </c>
      <c r="AV606" s="28">
        <f>+Q606-'[6]Приложение №1'!$Q575</f>
        <v>0</v>
      </c>
      <c r="AW606" s="28">
        <f>+R606-'[6]Приложение №1'!$R575</f>
        <v>0</v>
      </c>
      <c r="AX606" s="28">
        <f>+S606-'[6]Приложение №1'!$S575</f>
        <v>0</v>
      </c>
      <c r="AY606" s="28">
        <f>+T606-'[6]Приложение №1'!$T575</f>
        <v>0</v>
      </c>
    </row>
    <row r="607" spans="1:51" x14ac:dyDescent="0.25">
      <c r="A607" s="139">
        <f t="shared" si="195"/>
        <v>588</v>
      </c>
      <c r="B607" s="140">
        <f t="shared" si="196"/>
        <v>126</v>
      </c>
      <c r="C607" s="120" t="s">
        <v>51</v>
      </c>
      <c r="D607" s="120" t="s">
        <v>529</v>
      </c>
      <c r="E607" s="121">
        <v>1990</v>
      </c>
      <c r="F607" s="121">
        <v>2013</v>
      </c>
      <c r="G607" s="121" t="s">
        <v>83</v>
      </c>
      <c r="H607" s="121">
        <v>9</v>
      </c>
      <c r="I607" s="121">
        <v>4</v>
      </c>
      <c r="J607" s="107">
        <v>10682.7</v>
      </c>
      <c r="K607" s="107">
        <v>8792</v>
      </c>
      <c r="L607" s="107">
        <v>69.3</v>
      </c>
      <c r="M607" s="122">
        <v>381</v>
      </c>
      <c r="N607" s="123">
        <f t="shared" si="209"/>
        <v>33447816.559111003</v>
      </c>
      <c r="O607" s="107"/>
      <c r="P607" s="108"/>
      <c r="Q607" s="108"/>
      <c r="R607" s="108">
        <f t="shared" si="216"/>
        <v>2865626.9831999997</v>
      </c>
      <c r="S607" s="108">
        <f>+'Приложение №2'!E607-'Приложение №1'!R607</f>
        <v>30582189.575911004</v>
      </c>
      <c r="T607" s="108">
        <v>0</v>
      </c>
      <c r="U607" s="108">
        <f t="shared" si="213"/>
        <v>3804.3467423920611</v>
      </c>
      <c r="V607" s="108">
        <v>1293.2830200640001</v>
      </c>
      <c r="W607" s="135">
        <v>2024</v>
      </c>
      <c r="X607" s="28" t="e">
        <f>+#REF!-'[1]Приложение №1'!$P1060</f>
        <v>#REF!</v>
      </c>
      <c r="Z607" s="30">
        <f t="shared" si="211"/>
        <v>38109556.814410999</v>
      </c>
      <c r="AA607" s="26">
        <v>12649079.980151162</v>
      </c>
      <c r="AB607" s="26">
        <v>6869704.5973592401</v>
      </c>
      <c r="AC607" s="26">
        <v>8171118.1097511007</v>
      </c>
      <c r="AD607" s="26">
        <v>3937651.5042933603</v>
      </c>
      <c r="AE607" s="26">
        <v>0</v>
      </c>
      <c r="AF607" s="26"/>
      <c r="AG607" s="26">
        <v>952026.39550956013</v>
      </c>
      <c r="AH607" s="26">
        <v>0</v>
      </c>
      <c r="AI607" s="26"/>
      <c r="AJ607" s="26">
        <v>0</v>
      </c>
      <c r="AK607" s="26">
        <v>0</v>
      </c>
      <c r="AL607" s="26">
        <v>0</v>
      </c>
      <c r="AM607" s="26">
        <v>4209405.1087999996</v>
      </c>
      <c r="AN607" s="31">
        <v>452335.14650000009</v>
      </c>
      <c r="AO607" s="32">
        <v>868235.97204658017</v>
      </c>
      <c r="AP607" s="77">
        <f>+N607-'Приложение №2'!E607</f>
        <v>0</v>
      </c>
      <c r="AQ607" s="1">
        <f>5141746.03-3483863.47</f>
        <v>1657882.56</v>
      </c>
      <c r="AR607" s="1">
        <f t="shared" ref="AR607:AR612" si="217">+(K607*13.29+L607*22.52)*12*0.85</f>
        <v>1207744.4231999998</v>
      </c>
      <c r="AS607" s="1">
        <f>+(K607*13.29+L607*22.52)*12*30-447549.13</f>
        <v>42178724.629999995</v>
      </c>
      <c r="AT607" s="28">
        <f t="shared" si="215"/>
        <v>-11596535.054088991</v>
      </c>
      <c r="AU607" s="28">
        <f>+P607-'[6]Приложение №1'!$P576</f>
        <v>0</v>
      </c>
      <c r="AV607" s="28">
        <f>+Q607-'[6]Приложение №1'!$Q576</f>
        <v>0</v>
      </c>
      <c r="AW607" s="28">
        <f>+R607-'[6]Приложение №1'!$R576</f>
        <v>0</v>
      </c>
      <c r="AX607" s="28">
        <f>+S607-'[6]Приложение №1'!$S576</f>
        <v>0</v>
      </c>
      <c r="AY607" s="28">
        <f>+T607-'[6]Приложение №1'!$T576</f>
        <v>0</v>
      </c>
    </row>
    <row r="608" spans="1:51" x14ac:dyDescent="0.25">
      <c r="A608" s="139">
        <f t="shared" si="195"/>
        <v>589</v>
      </c>
      <c r="B608" s="140">
        <f t="shared" si="196"/>
        <v>127</v>
      </c>
      <c r="C608" s="120" t="s">
        <v>51</v>
      </c>
      <c r="D608" s="120" t="s">
        <v>530</v>
      </c>
      <c r="E608" s="121">
        <v>1994</v>
      </c>
      <c r="F608" s="121">
        <v>2013</v>
      </c>
      <c r="G608" s="121" t="s">
        <v>83</v>
      </c>
      <c r="H608" s="121">
        <v>9</v>
      </c>
      <c r="I608" s="121">
        <v>3</v>
      </c>
      <c r="J608" s="107">
        <v>8919.33</v>
      </c>
      <c r="K608" s="107">
        <v>6658.4</v>
      </c>
      <c r="L608" s="107">
        <v>0</v>
      </c>
      <c r="M608" s="122">
        <v>285</v>
      </c>
      <c r="N608" s="123">
        <f t="shared" si="209"/>
        <v>18039857.71118984</v>
      </c>
      <c r="O608" s="107"/>
      <c r="P608" s="108"/>
      <c r="Q608" s="108"/>
      <c r="R608" s="108">
        <f t="shared" si="216"/>
        <v>2369206.8372</v>
      </c>
      <c r="S608" s="108">
        <f>+'Приложение №2'!E608-'Приложение №1'!R608</f>
        <v>15670650.873989839</v>
      </c>
      <c r="T608" s="108">
        <v>4.6566128730773926E-10</v>
      </c>
      <c r="U608" s="108">
        <f t="shared" si="213"/>
        <v>2709.3382360912292</v>
      </c>
      <c r="V608" s="108">
        <v>1294.2830200640001</v>
      </c>
      <c r="W608" s="135">
        <v>2024</v>
      </c>
      <c r="X608" s="28" t="e">
        <f>+#REF!-'[1]Приложение №1'!$P1061</f>
        <v>#REF!</v>
      </c>
      <c r="Z608" s="30">
        <f t="shared" si="211"/>
        <v>14135263.039999999</v>
      </c>
      <c r="AA608" s="26">
        <v>0</v>
      </c>
      <c r="AB608" s="26">
        <v>0</v>
      </c>
      <c r="AC608" s="26">
        <v>0</v>
      </c>
      <c r="AD608" s="26">
        <v>0</v>
      </c>
      <c r="AE608" s="26">
        <v>0</v>
      </c>
      <c r="AF608" s="26"/>
      <c r="AG608" s="26">
        <v>0</v>
      </c>
      <c r="AH608" s="26">
        <v>0</v>
      </c>
      <c r="AI608" s="26">
        <v>0</v>
      </c>
      <c r="AJ608" s="26">
        <v>0</v>
      </c>
      <c r="AK608" s="26">
        <v>0</v>
      </c>
      <c r="AL608" s="26">
        <v>13564306.146929998</v>
      </c>
      <c r="AM608" s="26">
        <v>193212.03</v>
      </c>
      <c r="AN608" s="26">
        <v>81120.959999999992</v>
      </c>
      <c r="AO608" s="32">
        <v>296623.90307</v>
      </c>
      <c r="AP608" s="77">
        <f>+N608-'Приложение №2'!E608</f>
        <v>0</v>
      </c>
      <c r="AQ608" s="1">
        <f>4090276.43-1910372.27-713296.71</f>
        <v>1466607.4500000002</v>
      </c>
      <c r="AR608" s="1">
        <f t="shared" si="217"/>
        <v>902599.38719999976</v>
      </c>
      <c r="AS608" s="1">
        <f>+(K608*13.29+L608*22.52)*12*30-3114194.79-7865381.35-93203.45</f>
        <v>20783669.369999994</v>
      </c>
      <c r="AT608" s="28">
        <f t="shared" si="215"/>
        <v>-5113018.4960101545</v>
      </c>
      <c r="AU608" s="28">
        <f>+P608-'[6]Приложение №1'!$P577</f>
        <v>0</v>
      </c>
      <c r="AV608" s="28">
        <f>+Q608-'[6]Приложение №1'!$Q577</f>
        <v>0</v>
      </c>
      <c r="AW608" s="28">
        <f>+R608-'[6]Приложение №1'!$R577</f>
        <v>0</v>
      </c>
      <c r="AX608" s="28">
        <f>+S608-'[6]Приложение №1'!$S577</f>
        <v>0</v>
      </c>
      <c r="AY608" s="28">
        <f>+T608-'[6]Приложение №1'!$T577</f>
        <v>0</v>
      </c>
    </row>
    <row r="609" spans="1:51" x14ac:dyDescent="0.25">
      <c r="A609" s="139">
        <f t="shared" si="195"/>
        <v>590</v>
      </c>
      <c r="B609" s="140">
        <f t="shared" si="196"/>
        <v>128</v>
      </c>
      <c r="C609" s="120" t="s">
        <v>51</v>
      </c>
      <c r="D609" s="120" t="s">
        <v>531</v>
      </c>
      <c r="E609" s="121">
        <v>1999</v>
      </c>
      <c r="F609" s="121">
        <v>1999</v>
      </c>
      <c r="G609" s="121" t="s">
        <v>83</v>
      </c>
      <c r="H609" s="121">
        <v>9</v>
      </c>
      <c r="I609" s="121">
        <v>1</v>
      </c>
      <c r="J609" s="107">
        <v>2462.15</v>
      </c>
      <c r="K609" s="107">
        <v>2301</v>
      </c>
      <c r="L609" s="107">
        <v>0</v>
      </c>
      <c r="M609" s="122">
        <v>79</v>
      </c>
      <c r="N609" s="123">
        <f t="shared" si="209"/>
        <v>3591360</v>
      </c>
      <c r="O609" s="107"/>
      <c r="P609" s="108"/>
      <c r="Q609" s="108"/>
      <c r="R609" s="108">
        <f t="shared" si="216"/>
        <v>1635770.6579999998</v>
      </c>
      <c r="S609" s="108">
        <f>+'Приложение №2'!E609-'Приложение №1'!R609</f>
        <v>1955589.3420000002</v>
      </c>
      <c r="T609" s="108">
        <v>0</v>
      </c>
      <c r="U609" s="108">
        <f t="shared" si="213"/>
        <v>1560.7822685788788</v>
      </c>
      <c r="V609" s="108">
        <v>1295.2830200640001</v>
      </c>
      <c r="W609" s="135">
        <v>2024</v>
      </c>
      <c r="X609" s="28"/>
      <c r="Z609" s="30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31"/>
      <c r="AO609" s="32"/>
      <c r="AP609" s="77">
        <f>+N609-'Приложение №2'!E609</f>
        <v>0</v>
      </c>
      <c r="AQ609" s="1">
        <v>1323851.7</v>
      </c>
      <c r="AR609" s="1">
        <f t="shared" si="217"/>
        <v>311918.95799999998</v>
      </c>
      <c r="AS609" s="1">
        <f>+(K609*13.29+L609*22.52)*12*30</f>
        <v>11008904.399999999</v>
      </c>
      <c r="AT609" s="28">
        <f t="shared" si="215"/>
        <v>-9053315.0579999983</v>
      </c>
      <c r="AU609" s="28">
        <f>+P609-'[6]Приложение №1'!$P578</f>
        <v>0</v>
      </c>
      <c r="AV609" s="28">
        <f>+Q609-'[6]Приложение №1'!$Q578</f>
        <v>0</v>
      </c>
      <c r="AW609" s="28">
        <f>+R609-'[6]Приложение №1'!$R578</f>
        <v>0</v>
      </c>
      <c r="AX609" s="28">
        <f>+S609-'[6]Приложение №1'!$S578</f>
        <v>0</v>
      </c>
      <c r="AY609" s="28">
        <f>+T609-'[6]Приложение №1'!$T578</f>
        <v>0</v>
      </c>
    </row>
    <row r="610" spans="1:51" s="34" customFormat="1" x14ac:dyDescent="0.25">
      <c r="A610" s="139">
        <f t="shared" si="195"/>
        <v>591</v>
      </c>
      <c r="B610" s="140">
        <f t="shared" si="196"/>
        <v>129</v>
      </c>
      <c r="C610" s="120" t="s">
        <v>51</v>
      </c>
      <c r="D610" s="120" t="s">
        <v>532</v>
      </c>
      <c r="E610" s="121" t="s">
        <v>115</v>
      </c>
      <c r="F610" s="121"/>
      <c r="G610" s="121" t="s">
        <v>83</v>
      </c>
      <c r="H610" s="121" t="s">
        <v>94</v>
      </c>
      <c r="I610" s="121" t="s">
        <v>98</v>
      </c>
      <c r="J610" s="107">
        <v>5386.8</v>
      </c>
      <c r="K610" s="107">
        <v>4410.8999999999996</v>
      </c>
      <c r="L610" s="107">
        <v>0</v>
      </c>
      <c r="M610" s="122">
        <v>267</v>
      </c>
      <c r="N610" s="123">
        <f t="shared" si="209"/>
        <v>1761672.902208</v>
      </c>
      <c r="O610" s="107">
        <v>0</v>
      </c>
      <c r="P610" s="108"/>
      <c r="Q610" s="108">
        <v>0</v>
      </c>
      <c r="R610" s="108">
        <f>+'Приложение №2'!E610</f>
        <v>1761672.902208</v>
      </c>
      <c r="S610" s="108">
        <f>+'Приложение №2'!E610-'Приложение №1'!R610</f>
        <v>0</v>
      </c>
      <c r="T610" s="108">
        <v>0</v>
      </c>
      <c r="U610" s="108">
        <f t="shared" si="213"/>
        <v>399.39080509827926</v>
      </c>
      <c r="V610" s="108">
        <v>1296.2830200640001</v>
      </c>
      <c r="W610" s="135">
        <v>2024</v>
      </c>
      <c r="X610" s="34">
        <v>1654219.33</v>
      </c>
      <c r="Y610" s="34">
        <f>+(K610*12.08+L610*20.47)*12</f>
        <v>639404.06400000001</v>
      </c>
      <c r="AA610" s="35">
        <f>+N610-'[5]Приложение № 2'!E544</f>
        <v>938636.61160159996</v>
      </c>
      <c r="AD610" s="35">
        <f>+N610-'[5]Приложение № 2'!E544</f>
        <v>938636.61160159996</v>
      </c>
      <c r="AP610" s="77">
        <f>+N610-'Приложение №2'!E610</f>
        <v>0</v>
      </c>
      <c r="AQ610" s="34">
        <v>2338420.94</v>
      </c>
      <c r="AR610" s="1">
        <f t="shared" si="217"/>
        <v>597932.7821999999</v>
      </c>
      <c r="AS610" s="1">
        <f>+(K610*13.29+L610*22.52)*12*30</f>
        <v>21103509.959999997</v>
      </c>
      <c r="AT610" s="28">
        <f t="shared" si="215"/>
        <v>-21103509.959999997</v>
      </c>
      <c r="AU610" s="28">
        <f>+P610-'[6]Приложение №1'!$P579</f>
        <v>0</v>
      </c>
      <c r="AV610" s="28">
        <f>+Q610-'[6]Приложение №1'!$Q579</f>
        <v>0</v>
      </c>
      <c r="AW610" s="28">
        <f>+R610-'[6]Приложение №1'!$R579</f>
        <v>0</v>
      </c>
      <c r="AX610" s="28">
        <f>+S610-'[6]Приложение №1'!$S579</f>
        <v>0</v>
      </c>
      <c r="AY610" s="28">
        <f>+T610-'[6]Приложение №1'!$T579</f>
        <v>0</v>
      </c>
    </row>
    <row r="611" spans="1:51" s="34" customFormat="1" x14ac:dyDescent="0.25">
      <c r="A611" s="139">
        <f t="shared" si="195"/>
        <v>592</v>
      </c>
      <c r="B611" s="140">
        <f t="shared" si="196"/>
        <v>130</v>
      </c>
      <c r="C611" s="120" t="s">
        <v>51</v>
      </c>
      <c r="D611" s="120" t="s">
        <v>533</v>
      </c>
      <c r="E611" s="121" t="s">
        <v>116</v>
      </c>
      <c r="F611" s="121"/>
      <c r="G611" s="121" t="s">
        <v>83</v>
      </c>
      <c r="H611" s="121" t="s">
        <v>94</v>
      </c>
      <c r="I611" s="121" t="s">
        <v>98</v>
      </c>
      <c r="J611" s="107">
        <v>5259.4</v>
      </c>
      <c r="K611" s="107">
        <v>4259.8</v>
      </c>
      <c r="L611" s="107">
        <v>65.2</v>
      </c>
      <c r="M611" s="122">
        <v>245</v>
      </c>
      <c r="N611" s="123">
        <f t="shared" si="209"/>
        <v>1715973.7068479999</v>
      </c>
      <c r="O611" s="107">
        <v>0</v>
      </c>
      <c r="P611" s="108"/>
      <c r="Q611" s="108">
        <v>0</v>
      </c>
      <c r="R611" s="108">
        <f>+'Приложение №2'!E611</f>
        <v>1715973.7068479999</v>
      </c>
      <c r="S611" s="108">
        <f>+'Приложение №2'!E611-'Приложение №1'!R611</f>
        <v>0</v>
      </c>
      <c r="T611" s="108">
        <v>0</v>
      </c>
      <c r="U611" s="108">
        <f t="shared" si="213"/>
        <v>402.82964149678384</v>
      </c>
      <c r="V611" s="108">
        <v>1297.2830200640001</v>
      </c>
      <c r="W611" s="135">
        <v>2024</v>
      </c>
      <c r="X611" s="34">
        <v>1762729.2</v>
      </c>
      <c r="Y611" s="34">
        <f>+(K611*12.08+L611*20.47)*12</f>
        <v>633516.33600000013</v>
      </c>
      <c r="AA611" s="35">
        <f>+N611-'[5]Приложение № 2'!E545</f>
        <v>891440.44727360003</v>
      </c>
      <c r="AD611" s="35">
        <f>+N611-'[5]Приложение № 2'!E545</f>
        <v>891440.44727360003</v>
      </c>
      <c r="AP611" s="77">
        <f>+N611-'Приложение №2'!E611</f>
        <v>0</v>
      </c>
      <c r="AQ611" s="34">
        <v>2391269.37</v>
      </c>
      <c r="AR611" s="1">
        <f t="shared" si="217"/>
        <v>592426.6692</v>
      </c>
      <c r="AS611" s="1">
        <f>+(K611*13.29+L611*22.52)*12*30</f>
        <v>20909176.560000002</v>
      </c>
      <c r="AT611" s="28">
        <f t="shared" si="215"/>
        <v>-20909176.560000002</v>
      </c>
      <c r="AU611" s="28">
        <f>+P611-'[6]Приложение №1'!$P580</f>
        <v>0</v>
      </c>
      <c r="AV611" s="28">
        <f>+Q611-'[6]Приложение №1'!$Q580</f>
        <v>0</v>
      </c>
      <c r="AW611" s="28">
        <f>+R611-'[6]Приложение №1'!$R580</f>
        <v>0</v>
      </c>
      <c r="AX611" s="28">
        <f>+S611-'[6]Приложение №1'!$S580</f>
        <v>0</v>
      </c>
      <c r="AY611" s="28">
        <f>+T611-'[6]Приложение №1'!$T580</f>
        <v>0</v>
      </c>
    </row>
    <row r="612" spans="1:51" s="34" customFormat="1" x14ac:dyDescent="0.25">
      <c r="A612" s="139">
        <f t="shared" ref="A612:A675" si="218">+A611+1</f>
        <v>593</v>
      </c>
      <c r="B612" s="140">
        <f t="shared" ref="B612:B675" si="219">+B611+1</f>
        <v>131</v>
      </c>
      <c r="C612" s="120" t="s">
        <v>51</v>
      </c>
      <c r="D612" s="120" t="s">
        <v>534</v>
      </c>
      <c r="E612" s="121" t="s">
        <v>116</v>
      </c>
      <c r="F612" s="121"/>
      <c r="G612" s="121" t="s">
        <v>83</v>
      </c>
      <c r="H612" s="121" t="s">
        <v>94</v>
      </c>
      <c r="I612" s="121" t="s">
        <v>98</v>
      </c>
      <c r="J612" s="107">
        <v>5408.1</v>
      </c>
      <c r="K612" s="107">
        <v>4395.54</v>
      </c>
      <c r="L612" s="107">
        <v>0</v>
      </c>
      <c r="M612" s="122">
        <v>222</v>
      </c>
      <c r="N612" s="123">
        <f t="shared" si="209"/>
        <v>1736233.9121119999</v>
      </c>
      <c r="O612" s="107">
        <v>0</v>
      </c>
      <c r="P612" s="108"/>
      <c r="Q612" s="108">
        <v>0</v>
      </c>
      <c r="R612" s="108">
        <f>+'Приложение №2'!E612</f>
        <v>1736233.9121119999</v>
      </c>
      <c r="S612" s="108">
        <f>+'Приложение №2'!E612-'Приложение №1'!R612</f>
        <v>0</v>
      </c>
      <c r="T612" s="108">
        <v>0</v>
      </c>
      <c r="U612" s="108">
        <f t="shared" si="213"/>
        <v>394.99900174085548</v>
      </c>
      <c r="V612" s="108">
        <v>1298.2830200640001</v>
      </c>
      <c r="W612" s="135">
        <v>2024</v>
      </c>
      <c r="X612" s="34">
        <v>1466483.92</v>
      </c>
      <c r="Y612" s="34">
        <f>+(K612*12.08+L612*20.47)*12</f>
        <v>637177.47840000002</v>
      </c>
      <c r="AA612" s="35">
        <f>+N612-'[5]Приложение № 2'!E546</f>
        <v>911101.85895039991</v>
      </c>
      <c r="AD612" s="35">
        <f>+N612-'[5]Приложение № 2'!E546</f>
        <v>911101.85895039991</v>
      </c>
      <c r="AP612" s="77">
        <f>+N612-'Приложение №2'!E612</f>
        <v>0</v>
      </c>
      <c r="AQ612" s="34">
        <v>2154607.7400000002</v>
      </c>
      <c r="AR612" s="1">
        <f t="shared" si="217"/>
        <v>595850.61131999991</v>
      </c>
      <c r="AS612" s="1">
        <f>+(K612*13.29+L612*22.52)*12*30</f>
        <v>21030021.575999998</v>
      </c>
      <c r="AT612" s="28">
        <f t="shared" si="215"/>
        <v>-21030021.575999998</v>
      </c>
      <c r="AU612" s="28">
        <f>+P612-'[6]Приложение №1'!$P581</f>
        <v>0</v>
      </c>
      <c r="AV612" s="28">
        <f>+Q612-'[6]Приложение №1'!$Q581</f>
        <v>0</v>
      </c>
      <c r="AW612" s="28">
        <f>+R612-'[6]Приложение №1'!$R581</f>
        <v>0</v>
      </c>
      <c r="AX612" s="28">
        <f>+S612-'[6]Приложение №1'!$S581</f>
        <v>0</v>
      </c>
      <c r="AY612" s="28">
        <f>+T612-'[6]Приложение №1'!$T581</f>
        <v>0</v>
      </c>
    </row>
    <row r="613" spans="1:51" x14ac:dyDescent="0.25">
      <c r="A613" s="139">
        <f t="shared" si="218"/>
        <v>594</v>
      </c>
      <c r="B613" s="140">
        <f t="shared" si="219"/>
        <v>132</v>
      </c>
      <c r="C613" s="120" t="s">
        <v>51</v>
      </c>
      <c r="D613" s="120" t="s">
        <v>475</v>
      </c>
      <c r="E613" s="121">
        <v>1977</v>
      </c>
      <c r="F613" s="121">
        <v>2016</v>
      </c>
      <c r="G613" s="121" t="s">
        <v>43</v>
      </c>
      <c r="H613" s="121">
        <v>4</v>
      </c>
      <c r="I613" s="121">
        <v>3</v>
      </c>
      <c r="J613" s="107">
        <v>4282.03</v>
      </c>
      <c r="K613" s="107">
        <v>3649.25</v>
      </c>
      <c r="L613" s="107">
        <v>274</v>
      </c>
      <c r="M613" s="122">
        <v>288</v>
      </c>
      <c r="N613" s="123">
        <f t="shared" si="209"/>
        <v>11659299.253600001</v>
      </c>
      <c r="O613" s="107"/>
      <c r="P613" s="108">
        <f>+'Приложение №2'!E613-'Приложение №1'!R613-'Приложение №1'!S613</f>
        <v>5116287.7866000012</v>
      </c>
      <c r="Q613" s="108"/>
      <c r="R613" s="108"/>
      <c r="S613" s="108">
        <f>+AS613</f>
        <v>6543011.4670000002</v>
      </c>
      <c r="T613" s="108">
        <v>0</v>
      </c>
      <c r="U613" s="108">
        <f t="shared" si="213"/>
        <v>3194.9850664109067</v>
      </c>
      <c r="V613" s="108">
        <v>1299.2830200640001</v>
      </c>
      <c r="W613" s="135">
        <v>2024</v>
      </c>
      <c r="X613" s="28" t="e">
        <f>+#REF!-'[1]Приложение №1'!$P678</f>
        <v>#REF!</v>
      </c>
      <c r="Z613" s="30">
        <f>SUM(AA613:AO613)</f>
        <v>23141293.460000001</v>
      </c>
      <c r="AA613" s="26">
        <v>8634085.2331297211</v>
      </c>
      <c r="AB613" s="26">
        <v>0</v>
      </c>
      <c r="AC613" s="26">
        <v>3214445.52658614</v>
      </c>
      <c r="AD613" s="26">
        <v>0</v>
      </c>
      <c r="AE613" s="26">
        <v>0</v>
      </c>
      <c r="AF613" s="26"/>
      <c r="AG613" s="26">
        <v>331313.48510400002</v>
      </c>
      <c r="AH613" s="26">
        <v>0</v>
      </c>
      <c r="AI613" s="26">
        <v>0</v>
      </c>
      <c r="AJ613" s="26">
        <v>0</v>
      </c>
      <c r="AK613" s="26">
        <v>8195344.7229868202</v>
      </c>
      <c r="AL613" s="26">
        <v>0</v>
      </c>
      <c r="AM613" s="26">
        <v>2089127.4416</v>
      </c>
      <c r="AN613" s="31">
        <v>231412.93460000001</v>
      </c>
      <c r="AO613" s="32">
        <v>445564.11599332013</v>
      </c>
      <c r="AP613" s="77">
        <f>+N613-'Приложение №2'!E613</f>
        <v>0</v>
      </c>
      <c r="AQ613" s="28">
        <f>1246178.99-238851.36-R306</f>
        <v>-1178944.1900000004</v>
      </c>
      <c r="AR613" s="1">
        <f>+(K613*10+L613*20)*12*0.85</f>
        <v>428119.5</v>
      </c>
      <c r="AS613" s="1">
        <f>+(K613*10+L613*20)*12*30-58057.611-1622749.022-S306</f>
        <v>6543011.4670000002</v>
      </c>
      <c r="AT613" s="28">
        <f t="shared" si="215"/>
        <v>0</v>
      </c>
      <c r="AU613" s="28">
        <f>+P613-'[6]Приложение №1'!$P582</f>
        <v>5116287.7866000012</v>
      </c>
      <c r="AV613" s="28">
        <f>+Q613-'[6]Приложение №1'!$Q582</f>
        <v>0</v>
      </c>
      <c r="AW613" s="28">
        <f>+R613-'[6]Приложение №1'!$R582</f>
        <v>-1435447.13</v>
      </c>
      <c r="AX613" s="28">
        <f>+S613-'[6]Приложение №1'!$S582</f>
        <v>-3680840.6566000022</v>
      </c>
      <c r="AY613" s="28">
        <f>+T613-'[6]Приложение №1'!$T582</f>
        <v>0</v>
      </c>
    </row>
    <row r="614" spans="1:51" x14ac:dyDescent="0.25">
      <c r="A614" s="139">
        <f t="shared" si="218"/>
        <v>595</v>
      </c>
      <c r="B614" s="140">
        <f t="shared" si="219"/>
        <v>133</v>
      </c>
      <c r="C614" s="120" t="s">
        <v>51</v>
      </c>
      <c r="D614" s="120" t="s">
        <v>535</v>
      </c>
      <c r="E614" s="121">
        <v>1978</v>
      </c>
      <c r="F614" s="121">
        <v>2013</v>
      </c>
      <c r="G614" s="121" t="s">
        <v>43</v>
      </c>
      <c r="H614" s="121">
        <v>4</v>
      </c>
      <c r="I614" s="121">
        <v>4</v>
      </c>
      <c r="J614" s="107">
        <v>2848.5</v>
      </c>
      <c r="K614" s="107">
        <v>2649.95</v>
      </c>
      <c r="L614" s="107">
        <v>0</v>
      </c>
      <c r="M614" s="122">
        <v>145</v>
      </c>
      <c r="N614" s="123">
        <f t="shared" si="209"/>
        <v>2721879.4471506448</v>
      </c>
      <c r="O614" s="107"/>
      <c r="P614" s="108"/>
      <c r="Q614" s="108"/>
      <c r="R614" s="108">
        <f>+AQ614+AR614</f>
        <v>1479357.3299999998</v>
      </c>
      <c r="S614" s="108">
        <f>+'Приложение №2'!E614-'Приложение №1'!R614</f>
        <v>1242522.117150645</v>
      </c>
      <c r="T614" s="108">
        <v>0</v>
      </c>
      <c r="U614" s="108">
        <f t="shared" si="213"/>
        <v>1027.1436997492954</v>
      </c>
      <c r="V614" s="108">
        <v>1300.2830200640001</v>
      </c>
      <c r="W614" s="135">
        <v>2024</v>
      </c>
      <c r="X614" s="28" t="e">
        <f>+#REF!-'[1]Приложение №1'!$P1072</f>
        <v>#REF!</v>
      </c>
      <c r="Z614" s="30">
        <f>SUM(AA614:AO614)</f>
        <v>4102628.5261912653</v>
      </c>
      <c r="AA614" s="26">
        <v>0</v>
      </c>
      <c r="AB614" s="26">
        <v>2393856.5125572649</v>
      </c>
      <c r="AC614" s="26">
        <v>0</v>
      </c>
      <c r="AD614" s="26">
        <v>0</v>
      </c>
      <c r="AE614" s="26">
        <v>1207579.472694</v>
      </c>
      <c r="AF614" s="26"/>
      <c r="AG614" s="26">
        <v>243268.38316200001</v>
      </c>
      <c r="AH614" s="26">
        <v>0</v>
      </c>
      <c r="AI614" s="26">
        <v>0</v>
      </c>
      <c r="AJ614" s="26">
        <v>0</v>
      </c>
      <c r="AK614" s="26">
        <v>0</v>
      </c>
      <c r="AL614" s="26">
        <v>0</v>
      </c>
      <c r="AM614" s="26">
        <v>129490.79000000001</v>
      </c>
      <c r="AN614" s="26">
        <v>44357.47</v>
      </c>
      <c r="AO614" s="32">
        <v>84075.897777999999</v>
      </c>
      <c r="AP614" s="77">
        <f>+N614-'Приложение №2'!E614</f>
        <v>0</v>
      </c>
      <c r="AQ614" s="1">
        <v>1209062.43</v>
      </c>
      <c r="AR614" s="1">
        <f>+(K614*10+L614*20)*12*0.85</f>
        <v>270294.89999999997</v>
      </c>
      <c r="AS614" s="1">
        <f>+(K614*10+L614*20)*12*30</f>
        <v>9539820</v>
      </c>
      <c r="AT614" s="28">
        <f t="shared" si="215"/>
        <v>-8297297.8828493552</v>
      </c>
      <c r="AU614" s="28">
        <f>+P614-'[6]Приложение №1'!$P583</f>
        <v>0</v>
      </c>
      <c r="AV614" s="28">
        <f>+Q614-'[6]Приложение №1'!$Q583</f>
        <v>0</v>
      </c>
      <c r="AW614" s="28">
        <f>+R614-'[6]Приложение №1'!$R583</f>
        <v>0</v>
      </c>
      <c r="AX614" s="28">
        <f>+S614-'[6]Приложение №1'!$S583</f>
        <v>0</v>
      </c>
      <c r="AY614" s="28">
        <f>+T614-'[6]Приложение №1'!$T583</f>
        <v>0</v>
      </c>
    </row>
    <row r="615" spans="1:51" x14ac:dyDescent="0.25">
      <c r="A615" s="139">
        <f t="shared" si="218"/>
        <v>596</v>
      </c>
      <c r="B615" s="140">
        <f t="shared" si="219"/>
        <v>134</v>
      </c>
      <c r="C615" s="120" t="s">
        <v>51</v>
      </c>
      <c r="D615" s="120" t="s">
        <v>238</v>
      </c>
      <c r="E615" s="121">
        <v>1988</v>
      </c>
      <c r="F615" s="121">
        <v>2013</v>
      </c>
      <c r="G615" s="121" t="s">
        <v>43</v>
      </c>
      <c r="H615" s="121">
        <v>3</v>
      </c>
      <c r="I615" s="121">
        <v>3</v>
      </c>
      <c r="J615" s="107">
        <v>1440</v>
      </c>
      <c r="K615" s="107">
        <v>1362.6</v>
      </c>
      <c r="L615" s="107">
        <v>0</v>
      </c>
      <c r="M615" s="122">
        <v>54</v>
      </c>
      <c r="N615" s="123">
        <f t="shared" si="209"/>
        <v>26446557.673895352</v>
      </c>
      <c r="O615" s="107"/>
      <c r="P615" s="108">
        <v>4171397.8607790703</v>
      </c>
      <c r="Q615" s="108"/>
      <c r="R615" s="108">
        <f>+AQ615+AR615</f>
        <v>701977.97</v>
      </c>
      <c r="S615" s="108">
        <f>+AS615</f>
        <v>4905360</v>
      </c>
      <c r="T615" s="108">
        <f>+'Приложение №2'!E615-'Приложение №1'!P615-'Приложение №1'!R615-'Приложение №1'!S615</f>
        <v>16667821.843116283</v>
      </c>
      <c r="U615" s="108">
        <f t="shared" si="213"/>
        <v>19408.893052910138</v>
      </c>
      <c r="V615" s="108">
        <v>1301.2830200640001</v>
      </c>
      <c r="W615" s="135">
        <v>2024</v>
      </c>
      <c r="X615" s="28" t="e">
        <f>+#REF!-'[1]Приложение №1'!$P1073</f>
        <v>#REF!</v>
      </c>
      <c r="Z615" s="30">
        <f>SUM(AA615:AO615)</f>
        <v>25083426.917270374</v>
      </c>
      <c r="AA615" s="26">
        <v>4525107.225966936</v>
      </c>
      <c r="AB615" s="26">
        <v>2796445.9111580672</v>
      </c>
      <c r="AC615" s="26">
        <v>1312542.3519563093</v>
      </c>
      <c r="AD615" s="26">
        <v>1144056.1189434747</v>
      </c>
      <c r="AE615" s="26">
        <v>736445.82143999997</v>
      </c>
      <c r="AF615" s="26"/>
      <c r="AG615" s="26">
        <v>433409.41392000002</v>
      </c>
      <c r="AH615" s="26">
        <v>0</v>
      </c>
      <c r="AI615" s="26">
        <v>13331310.272431584</v>
      </c>
      <c r="AJ615" s="26">
        <v>0</v>
      </c>
      <c r="AK615" s="26">
        <v>0</v>
      </c>
      <c r="AL615" s="26">
        <v>0</v>
      </c>
      <c r="AM615" s="26">
        <v>225241.67</v>
      </c>
      <c r="AN615" s="26">
        <v>47928.639999999999</v>
      </c>
      <c r="AO615" s="32">
        <v>530939.491454</v>
      </c>
      <c r="AP615" s="77">
        <f>+N615-'Приложение №2'!E615</f>
        <v>0</v>
      </c>
      <c r="AQ615" s="1">
        <v>562992.77</v>
      </c>
      <c r="AR615" s="1">
        <f>+(K615*10+L615*20)*12*0.85</f>
        <v>138985.19999999998</v>
      </c>
      <c r="AS615" s="1">
        <f>+(K615*10+L615*20)*12*30</f>
        <v>4905360</v>
      </c>
      <c r="AT615" s="28">
        <f t="shared" si="215"/>
        <v>0</v>
      </c>
      <c r="AU615" s="28">
        <f>+P615-'[6]Приложение №1'!$P584</f>
        <v>0</v>
      </c>
      <c r="AV615" s="28">
        <f>+Q615-'[6]Приложение №1'!$Q584</f>
        <v>0</v>
      </c>
      <c r="AW615" s="28">
        <f>+R615-'[6]Приложение №1'!$R584</f>
        <v>0</v>
      </c>
      <c r="AX615" s="28">
        <f>+S615-'[6]Приложение №1'!$S584</f>
        <v>0</v>
      </c>
      <c r="AY615" s="28">
        <f>+T615-'[6]Приложение №1'!$T584</f>
        <v>0</v>
      </c>
    </row>
    <row r="616" spans="1:51" x14ac:dyDescent="0.25">
      <c r="A616" s="139">
        <f t="shared" si="218"/>
        <v>597</v>
      </c>
      <c r="B616" s="140">
        <f t="shared" si="219"/>
        <v>135</v>
      </c>
      <c r="C616" s="120" t="s">
        <v>51</v>
      </c>
      <c r="D616" s="120" t="s">
        <v>536</v>
      </c>
      <c r="E616" s="121">
        <v>1989</v>
      </c>
      <c r="F616" s="121">
        <v>2013</v>
      </c>
      <c r="G616" s="121" t="s">
        <v>43</v>
      </c>
      <c r="H616" s="121">
        <v>3</v>
      </c>
      <c r="I616" s="121">
        <v>3</v>
      </c>
      <c r="J616" s="107">
        <v>1505.9</v>
      </c>
      <c r="K616" s="107">
        <v>1326.7</v>
      </c>
      <c r="L616" s="107">
        <v>0</v>
      </c>
      <c r="M616" s="122">
        <v>75</v>
      </c>
      <c r="N616" s="123">
        <f t="shared" si="209"/>
        <v>9689035.8902000003</v>
      </c>
      <c r="O616" s="107"/>
      <c r="P616" s="108">
        <v>1272584.8299999998</v>
      </c>
      <c r="Q616" s="108"/>
      <c r="R616" s="108">
        <f>+AQ616+AR616</f>
        <v>787242.06</v>
      </c>
      <c r="S616" s="108">
        <f>+AS616</f>
        <v>4776120</v>
      </c>
      <c r="T616" s="108">
        <f>+'Приложение №2'!E616-'Приложение №1'!P616-'Приложение №1'!R616-'Приложение №1'!S616</f>
        <v>2853089.0001999997</v>
      </c>
      <c r="U616" s="108">
        <f t="shared" si="213"/>
        <v>7303.1098893495137</v>
      </c>
      <c r="V616" s="108">
        <v>1302.2830200640001</v>
      </c>
      <c r="W616" s="135">
        <v>2024</v>
      </c>
      <c r="X616" s="28" t="e">
        <f>+#REF!-'[1]Приложение №1'!$P423</f>
        <v>#REF!</v>
      </c>
      <c r="Z616" s="30">
        <f>SUM(AA616:AO616)</f>
        <v>10886557.18</v>
      </c>
      <c r="AA616" s="26">
        <v>0</v>
      </c>
      <c r="AB616" s="26">
        <v>0</v>
      </c>
      <c r="AC616" s="26">
        <v>0</v>
      </c>
      <c r="AD616" s="26">
        <v>0</v>
      </c>
      <c r="AE616" s="26">
        <v>0</v>
      </c>
      <c r="AF616" s="26"/>
      <c r="AG616" s="26">
        <v>0</v>
      </c>
      <c r="AH616" s="26">
        <v>0</v>
      </c>
      <c r="AI616" s="26">
        <v>0</v>
      </c>
      <c r="AJ616" s="26">
        <v>0</v>
      </c>
      <c r="AK616" s="26">
        <v>0</v>
      </c>
      <c r="AL616" s="26">
        <v>9481690.5221497193</v>
      </c>
      <c r="AM616" s="26">
        <v>1088655.7180000001</v>
      </c>
      <c r="AN616" s="31">
        <v>108865.57180000001</v>
      </c>
      <c r="AO616" s="32">
        <v>207345.36805028003</v>
      </c>
      <c r="AP616" s="77">
        <f>+N616-'Приложение №2'!E616</f>
        <v>0</v>
      </c>
      <c r="AQ616" s="1">
        <v>651918.66</v>
      </c>
      <c r="AR616" s="1">
        <f>+(K616*10+L616*20)*12*0.85</f>
        <v>135323.4</v>
      </c>
      <c r="AS616" s="1">
        <f>+(K616*10+L616*20)*12*30</f>
        <v>4776120</v>
      </c>
      <c r="AT616" s="28">
        <f t="shared" si="215"/>
        <v>0</v>
      </c>
      <c r="AU616" s="28">
        <f>+P616-'[6]Приложение №1'!$P585</f>
        <v>0</v>
      </c>
      <c r="AV616" s="28">
        <f>+Q616-'[6]Приложение №1'!$Q585</f>
        <v>0</v>
      </c>
      <c r="AW616" s="28">
        <f>+R616-'[6]Приложение №1'!$R585</f>
        <v>0</v>
      </c>
      <c r="AX616" s="28">
        <f>+S616-'[6]Приложение №1'!$S585</f>
        <v>0</v>
      </c>
      <c r="AY616" s="28">
        <f>+T616-'[6]Приложение №1'!$T585</f>
        <v>0</v>
      </c>
    </row>
    <row r="617" spans="1:51" x14ac:dyDescent="0.25">
      <c r="A617" s="139">
        <f t="shared" si="218"/>
        <v>598</v>
      </c>
      <c r="B617" s="140">
        <f t="shared" si="219"/>
        <v>136</v>
      </c>
      <c r="C617" s="120" t="s">
        <v>51</v>
      </c>
      <c r="D617" s="120" t="s">
        <v>537</v>
      </c>
      <c r="E617" s="121">
        <v>1979</v>
      </c>
      <c r="F617" s="121">
        <v>2008</v>
      </c>
      <c r="G617" s="121" t="s">
        <v>83</v>
      </c>
      <c r="H617" s="121">
        <v>4</v>
      </c>
      <c r="I617" s="121">
        <v>1</v>
      </c>
      <c r="J617" s="107">
        <v>4953.1000000000004</v>
      </c>
      <c r="K617" s="107">
        <v>4344.8</v>
      </c>
      <c r="L617" s="107">
        <v>0</v>
      </c>
      <c r="M617" s="122">
        <v>210</v>
      </c>
      <c r="N617" s="123">
        <f t="shared" si="209"/>
        <v>25809972.036199998</v>
      </c>
      <c r="O617" s="107"/>
      <c r="P617" s="108">
        <v>2747451.5274999994</v>
      </c>
      <c r="Q617" s="108"/>
      <c r="R617" s="108">
        <f>+AQ617+AR617</f>
        <v>2248197.27</v>
      </c>
      <c r="S617" s="108">
        <f>+AS617</f>
        <v>15641280</v>
      </c>
      <c r="T617" s="108">
        <f>+'Приложение №2'!E617-'Приложение №1'!P617-'Приложение №1'!R617-'Приложение №1'!S617</f>
        <v>5173043.2386999987</v>
      </c>
      <c r="U617" s="108">
        <f t="shared" si="213"/>
        <v>5940.4281062879754</v>
      </c>
      <c r="V617" s="108">
        <v>1303.2830200640001</v>
      </c>
      <c r="W617" s="135">
        <v>2024</v>
      </c>
      <c r="X617" s="28" t="e">
        <f>+#REF!-'[1]Приложение №1'!$P1074</f>
        <v>#REF!</v>
      </c>
      <c r="Z617" s="30">
        <f>SUM(AA617:AO617)</f>
        <v>79806524.310000002</v>
      </c>
      <c r="AA617" s="26">
        <v>7307972.9825192997</v>
      </c>
      <c r="AB617" s="26">
        <v>4226400.5602551596</v>
      </c>
      <c r="AC617" s="26">
        <v>4467618.3252825597</v>
      </c>
      <c r="AD617" s="26">
        <v>3406596.95492088</v>
      </c>
      <c r="AE617" s="26">
        <v>1360865.74605282</v>
      </c>
      <c r="AF617" s="26"/>
      <c r="AG617" s="26">
        <v>363131.25296279998</v>
      </c>
      <c r="AH617" s="26">
        <v>0</v>
      </c>
      <c r="AI617" s="26">
        <v>13009304.578170599</v>
      </c>
      <c r="AJ617" s="26">
        <v>0</v>
      </c>
      <c r="AK617" s="26">
        <v>25257638.634625319</v>
      </c>
      <c r="AL617" s="26">
        <v>9933505.3301777989</v>
      </c>
      <c r="AM617" s="26">
        <v>8159251.6634999998</v>
      </c>
      <c r="AN617" s="31">
        <v>798065.24310000008</v>
      </c>
      <c r="AO617" s="32">
        <v>1516173.0384327602</v>
      </c>
      <c r="AP617" s="77">
        <f>+N617-'Приложение №2'!E617</f>
        <v>0</v>
      </c>
      <c r="AQ617" s="1">
        <f>1980485.86-175458.19</f>
        <v>1805027.6700000002</v>
      </c>
      <c r="AR617" s="1">
        <f>+(K617*10+L617*20)*12*0.85</f>
        <v>443169.6</v>
      </c>
      <c r="AS617" s="1">
        <f>+(K617*10+L617*20)*12*30</f>
        <v>15641280</v>
      </c>
      <c r="AT617" s="28">
        <f t="shared" si="215"/>
        <v>0</v>
      </c>
      <c r="AU617" s="28">
        <f>+P617-'[6]Приложение №1'!$P586</f>
        <v>0</v>
      </c>
      <c r="AV617" s="28">
        <f>+Q617-'[6]Приложение №1'!$Q586</f>
        <v>0</v>
      </c>
      <c r="AW617" s="28">
        <f>+R617-'[6]Приложение №1'!$R586</f>
        <v>0</v>
      </c>
      <c r="AX617" s="28">
        <f>+S617-'[6]Приложение №1'!$S586</f>
        <v>0</v>
      </c>
      <c r="AY617" s="28">
        <f>+T617-'[6]Приложение №1'!$T586</f>
        <v>0</v>
      </c>
    </row>
    <row r="618" spans="1:51" s="34" customFormat="1" x14ac:dyDescent="0.25">
      <c r="A618" s="139">
        <f t="shared" si="218"/>
        <v>599</v>
      </c>
      <c r="B618" s="140">
        <f t="shared" si="219"/>
        <v>137</v>
      </c>
      <c r="C618" s="120" t="s">
        <v>128</v>
      </c>
      <c r="D618" s="120" t="s">
        <v>538</v>
      </c>
      <c r="E618" s="121" t="s">
        <v>93</v>
      </c>
      <c r="F618" s="121"/>
      <c r="G618" s="121" t="s">
        <v>43</v>
      </c>
      <c r="H618" s="121" t="s">
        <v>94</v>
      </c>
      <c r="I618" s="121" t="s">
        <v>97</v>
      </c>
      <c r="J618" s="107">
        <v>5877.12</v>
      </c>
      <c r="K618" s="107">
        <v>5045.7</v>
      </c>
      <c r="L618" s="107">
        <v>0</v>
      </c>
      <c r="M618" s="122">
        <v>170</v>
      </c>
      <c r="N618" s="123">
        <f>SUM(O618:S618)</f>
        <v>10774080</v>
      </c>
      <c r="O618" s="107">
        <v>0</v>
      </c>
      <c r="P618" s="108">
        <f>+'Приложение №2'!E618-'Приложение №1'!R618</f>
        <v>7237936.3654399998</v>
      </c>
      <c r="Q618" s="108">
        <v>0</v>
      </c>
      <c r="R618" s="108">
        <v>3536143.6345600002</v>
      </c>
      <c r="S618" s="141"/>
      <c r="T618" s="141"/>
      <c r="U618" s="108">
        <f t="shared" si="213"/>
        <v>2135.2993638147336</v>
      </c>
      <c r="V618" s="108">
        <v>1304.2830200640001</v>
      </c>
      <c r="W618" s="135">
        <v>2024</v>
      </c>
      <c r="Y618" s="34">
        <f>+(K618*12.08+L618*20.47)*12</f>
        <v>731424.67200000002</v>
      </c>
      <c r="AA618" s="35">
        <f>+N618-'[5]Приложение № 2'!E552</f>
        <v>8888694.4000000004</v>
      </c>
      <c r="AD618" s="35">
        <f>+N618-'[5]Приложение № 2'!E552</f>
        <v>8888694.4000000004</v>
      </c>
      <c r="AP618" s="77">
        <f>+N618-'Приложение №2'!E618</f>
        <v>0</v>
      </c>
      <c r="AR618" s="1">
        <f>+(K618*13.29+L618*22.52)*12*0.85</f>
        <v>683985.0005999998</v>
      </c>
      <c r="AS618" s="1">
        <f>+(K618*13.29+L618*22.52)*12*30</f>
        <v>24140647.079999994</v>
      </c>
      <c r="AT618" s="28">
        <f t="shared" si="215"/>
        <v>-24140647.079999994</v>
      </c>
      <c r="AU618" s="28">
        <f>+P618-'[6]Приложение №1'!$P587</f>
        <v>0</v>
      </c>
      <c r="AV618" s="28">
        <f>+Q618-'[6]Приложение №1'!$Q587</f>
        <v>0</v>
      </c>
      <c r="AW618" s="28">
        <f>+R618-'[6]Приложение №1'!$R587</f>
        <v>0</v>
      </c>
      <c r="AX618" s="28">
        <f>+S618-'[6]Приложение №1'!$S587</f>
        <v>0</v>
      </c>
      <c r="AY618" s="28">
        <f>+T618-'[6]Приложение №1'!$T587</f>
        <v>0</v>
      </c>
    </row>
    <row r="619" spans="1:51" s="34" customFormat="1" x14ac:dyDescent="0.25">
      <c r="A619" s="139">
        <f t="shared" si="218"/>
        <v>600</v>
      </c>
      <c r="B619" s="140">
        <f t="shared" si="219"/>
        <v>138</v>
      </c>
      <c r="C619" s="120" t="s">
        <v>92</v>
      </c>
      <c r="D619" s="120" t="s">
        <v>539</v>
      </c>
      <c r="E619" s="121" t="s">
        <v>124</v>
      </c>
      <c r="F619" s="121"/>
      <c r="G619" s="121" t="s">
        <v>83</v>
      </c>
      <c r="H619" s="121" t="s">
        <v>94</v>
      </c>
      <c r="I619" s="121" t="s">
        <v>101</v>
      </c>
      <c r="J619" s="107">
        <v>10278.6</v>
      </c>
      <c r="K619" s="107">
        <v>9679.9</v>
      </c>
      <c r="L619" s="107">
        <v>0</v>
      </c>
      <c r="M619" s="122">
        <v>304</v>
      </c>
      <c r="N619" s="123">
        <f t="shared" ref="N619:N633" si="220">SUM(O619:T619)</f>
        <v>14412979.637864092</v>
      </c>
      <c r="O619" s="107">
        <v>0</v>
      </c>
      <c r="P619" s="108"/>
      <c r="Q619" s="108">
        <v>0</v>
      </c>
      <c r="R619" s="108">
        <f>+AQ619+AR619</f>
        <v>7110316.7841999996</v>
      </c>
      <c r="S619" s="108">
        <f>+'Приложение №2'!E619-'Приложение №1'!R619</f>
        <v>7302662.8536640927</v>
      </c>
      <c r="T619" s="108">
        <v>0</v>
      </c>
      <c r="U619" s="108">
        <f t="shared" si="213"/>
        <v>1488.9595592789278</v>
      </c>
      <c r="V619" s="108">
        <v>1305.2830200640001</v>
      </c>
      <c r="W619" s="135">
        <v>2024</v>
      </c>
      <c r="X619" s="34">
        <v>4555600.2300000004</v>
      </c>
      <c r="Y619" s="34">
        <f>+(K619*12.08+L619*20.47)*12</f>
        <v>1403198.304</v>
      </c>
      <c r="AA619" s="35">
        <f>+N619-'[5]Приложение № 2'!E553</f>
        <v>-22846477.170718953</v>
      </c>
      <c r="AD619" s="35">
        <f>+N619-'[5]Приложение № 2'!E553</f>
        <v>-22846477.170718953</v>
      </c>
      <c r="AP619" s="77">
        <f>+N619-'Приложение №2'!E619</f>
        <v>0</v>
      </c>
      <c r="AQ619" s="34">
        <v>5798128.9000000004</v>
      </c>
      <c r="AR619" s="1">
        <f>+(K619*13.29+L619*22.52)*12*0.85</f>
        <v>1312187.8841999997</v>
      </c>
      <c r="AS619" s="1">
        <f>+(K619*13.29+L619*22.52)*12*30</f>
        <v>46312513.559999995</v>
      </c>
      <c r="AT619" s="28">
        <f t="shared" si="215"/>
        <v>-39009850.706335902</v>
      </c>
      <c r="AU619" s="28">
        <f>+P619-'[6]Приложение №1'!$P588</f>
        <v>0</v>
      </c>
      <c r="AV619" s="28">
        <f>+Q619-'[6]Приложение №1'!$Q588</f>
        <v>0</v>
      </c>
      <c r="AW619" s="28">
        <f>+R619-'[6]Приложение №1'!$R588</f>
        <v>0</v>
      </c>
      <c r="AX619" s="28">
        <f>+S619-'[6]Приложение №1'!$S588</f>
        <v>0</v>
      </c>
      <c r="AY619" s="28">
        <f>+T619-'[6]Приложение №1'!$T588</f>
        <v>0</v>
      </c>
    </row>
    <row r="620" spans="1:51" x14ac:dyDescent="0.25">
      <c r="A620" s="139">
        <f t="shared" si="218"/>
        <v>601</v>
      </c>
      <c r="B620" s="140">
        <f t="shared" si="219"/>
        <v>139</v>
      </c>
      <c r="C620" s="120" t="s">
        <v>51</v>
      </c>
      <c r="D620" s="120" t="s">
        <v>476</v>
      </c>
      <c r="E620" s="121">
        <v>1981</v>
      </c>
      <c r="F620" s="121">
        <v>2013</v>
      </c>
      <c r="G620" s="121" t="s">
        <v>83</v>
      </c>
      <c r="H620" s="121">
        <v>5</v>
      </c>
      <c r="I620" s="121">
        <v>4</v>
      </c>
      <c r="J620" s="107">
        <v>4887.3</v>
      </c>
      <c r="K620" s="107">
        <v>4312.8999999999996</v>
      </c>
      <c r="L620" s="107">
        <v>0</v>
      </c>
      <c r="M620" s="122">
        <v>194</v>
      </c>
      <c r="N620" s="123">
        <f t="shared" si="220"/>
        <v>50111322.820000008</v>
      </c>
      <c r="O620" s="107"/>
      <c r="P620" s="108">
        <v>9934187.5640000012</v>
      </c>
      <c r="Q620" s="108"/>
      <c r="R620" s="108">
        <f>+AR620</f>
        <v>439915.8</v>
      </c>
      <c r="S620" s="108">
        <f>+AS620</f>
        <v>11789637.74</v>
      </c>
      <c r="T620" s="108">
        <f>+'Приложение №2'!E620-'Приложение №1'!P620-'Приложение №1'!R620-'Приложение №1'!S620</f>
        <v>27947581.716000006</v>
      </c>
      <c r="U620" s="108">
        <f t="shared" si="213"/>
        <v>11618.939187089896</v>
      </c>
      <c r="V620" s="108">
        <v>1306.2830200640001</v>
      </c>
      <c r="W620" s="135">
        <v>2024</v>
      </c>
      <c r="X620" s="28" t="e">
        <f>+#REF!-'[1]Приложение №1'!$P215</f>
        <v>#REF!</v>
      </c>
      <c r="Z620" s="30">
        <f t="shared" ref="Z620:Z632" si="221">SUM(AA620:AO620)</f>
        <v>78714458.100000009</v>
      </c>
      <c r="AA620" s="26">
        <v>7207971.2584861796</v>
      </c>
      <c r="AB620" s="26">
        <v>4168566.8282411997</v>
      </c>
      <c r="AC620" s="26">
        <v>4406483.7908326201</v>
      </c>
      <c r="AD620" s="26">
        <v>3359981.3480309998</v>
      </c>
      <c r="AE620" s="26">
        <v>1342243.77142212</v>
      </c>
      <c r="AF620" s="26"/>
      <c r="AG620" s="26">
        <v>358162.19323499996</v>
      </c>
      <c r="AH620" s="26">
        <v>0</v>
      </c>
      <c r="AI620" s="26">
        <v>12831286.273936201</v>
      </c>
      <c r="AJ620" s="26">
        <v>0</v>
      </c>
      <c r="AK620" s="26">
        <v>24912015.084657121</v>
      </c>
      <c r="AL620" s="26">
        <v>9797576.0184224993</v>
      </c>
      <c r="AM620" s="26">
        <v>8047601.1061000004</v>
      </c>
      <c r="AN620" s="31">
        <v>787144.58100000001</v>
      </c>
      <c r="AO620" s="32">
        <v>1495425.8456360602</v>
      </c>
      <c r="AP620" s="77">
        <f>+N620-'Приложение №2'!E620</f>
        <v>0</v>
      </c>
      <c r="AQ620" s="28">
        <f>1978942.68-R309</f>
        <v>1249062.01545712</v>
      </c>
      <c r="AR620" s="1">
        <f t="shared" ref="AR620:AR633" si="222">+(K620*10+L620*20)*12*0.85</f>
        <v>439915.8</v>
      </c>
      <c r="AS620" s="1">
        <f>+(K620*10+L620*20)*12*30-S309</f>
        <v>11789637.74</v>
      </c>
      <c r="AT620" s="28">
        <f t="shared" si="215"/>
        <v>0</v>
      </c>
      <c r="AU620" s="28">
        <f>+P620-'[6]Приложение №1'!$P589</f>
        <v>0</v>
      </c>
      <c r="AV620" s="28">
        <f>+Q620-'[6]Приложение №1'!$Q589</f>
        <v>0</v>
      </c>
      <c r="AW620" s="28">
        <f>+R620-'[6]Приложение №1'!$R589</f>
        <v>0</v>
      </c>
      <c r="AX620" s="28">
        <f>+S620-'[6]Приложение №1'!$S589</f>
        <v>0</v>
      </c>
      <c r="AY620" s="28">
        <f>+T620-'[6]Приложение №1'!$T589</f>
        <v>0</v>
      </c>
    </row>
    <row r="621" spans="1:51" x14ac:dyDescent="0.25">
      <c r="A621" s="139">
        <f t="shared" si="218"/>
        <v>602</v>
      </c>
      <c r="B621" s="140">
        <f t="shared" si="219"/>
        <v>140</v>
      </c>
      <c r="C621" s="120" t="s">
        <v>51</v>
      </c>
      <c r="D621" s="120" t="s">
        <v>218</v>
      </c>
      <c r="E621" s="121">
        <v>1965</v>
      </c>
      <c r="F621" s="121">
        <v>2013</v>
      </c>
      <c r="G621" s="121" t="s">
        <v>43</v>
      </c>
      <c r="H621" s="121">
        <v>4</v>
      </c>
      <c r="I621" s="121">
        <v>4</v>
      </c>
      <c r="J621" s="107">
        <v>1940.1</v>
      </c>
      <c r="K621" s="107">
        <v>1500.8</v>
      </c>
      <c r="L621" s="107">
        <v>439.3</v>
      </c>
      <c r="M621" s="122">
        <v>74</v>
      </c>
      <c r="N621" s="123">
        <f t="shared" si="220"/>
        <v>5455626.652693335</v>
      </c>
      <c r="O621" s="107"/>
      <c r="P621" s="108"/>
      <c r="Q621" s="108"/>
      <c r="R621" s="108">
        <f>+AQ621+AR621</f>
        <v>695448.19</v>
      </c>
      <c r="S621" s="108">
        <f>+'Приложение №2'!E621-'Приложение №1'!R621</f>
        <v>4760178.4626933355</v>
      </c>
      <c r="T621" s="108">
        <v>1.1641532182693481E-10</v>
      </c>
      <c r="U621" s="108">
        <f t="shared" si="213"/>
        <v>3635.1456907604843</v>
      </c>
      <c r="V621" s="108">
        <v>1307.2830200640001</v>
      </c>
      <c r="W621" s="135">
        <v>2024</v>
      </c>
      <c r="X621" s="28" t="e">
        <f>+#REF!-'[1]Приложение №1'!$P1083</f>
        <v>#REF!</v>
      </c>
      <c r="Z621" s="30">
        <f t="shared" si="221"/>
        <v>4885248.5954377148</v>
      </c>
      <c r="AA621" s="26">
        <v>3936147.9321097154</v>
      </c>
      <c r="AB621" s="26">
        <v>0</v>
      </c>
      <c r="AC621" s="26">
        <v>0</v>
      </c>
      <c r="AD621" s="26">
        <v>0</v>
      </c>
      <c r="AE621" s="26">
        <v>687978.38608799991</v>
      </c>
      <c r="AF621" s="26"/>
      <c r="AG621" s="26">
        <v>0</v>
      </c>
      <c r="AH621" s="26">
        <v>0</v>
      </c>
      <c r="AI621" s="26">
        <v>0</v>
      </c>
      <c r="AJ621" s="26">
        <v>0</v>
      </c>
      <c r="AK621" s="26">
        <v>0</v>
      </c>
      <c r="AL621" s="26">
        <v>0</v>
      </c>
      <c r="AM621" s="26">
        <v>114738.14</v>
      </c>
      <c r="AN621" s="26">
        <v>45263.86</v>
      </c>
      <c r="AO621" s="32">
        <v>101120.27724</v>
      </c>
      <c r="AP621" s="77">
        <f>+N621-'Приложение №2'!E621</f>
        <v>0</v>
      </c>
      <c r="AQ621" s="1">
        <f>540010.2-87260.81</f>
        <v>452749.38999999996</v>
      </c>
      <c r="AR621" s="1">
        <f t="shared" si="222"/>
        <v>242698.8</v>
      </c>
      <c r="AS621" s="1">
        <f>+(K621*10+L621*20)*12*30</f>
        <v>8565840</v>
      </c>
      <c r="AT621" s="28">
        <f t="shared" si="215"/>
        <v>-3805661.5373066645</v>
      </c>
      <c r="AU621" s="28">
        <f>+P621-'[6]Приложение №1'!$P590</f>
        <v>0</v>
      </c>
      <c r="AV621" s="28">
        <f>+Q621-'[6]Приложение №1'!$Q590</f>
        <v>0</v>
      </c>
      <c r="AW621" s="28">
        <f>+R621-'[6]Приложение №1'!$R590</f>
        <v>0</v>
      </c>
      <c r="AX621" s="28">
        <f>+S621-'[6]Приложение №1'!$S590</f>
        <v>1069333.0496270801</v>
      </c>
      <c r="AY621" s="28">
        <f>+T621-'[6]Приложение №1'!$T590</f>
        <v>0</v>
      </c>
    </row>
    <row r="622" spans="1:51" x14ac:dyDescent="0.25">
      <c r="A622" s="139">
        <f t="shared" si="218"/>
        <v>603</v>
      </c>
      <c r="B622" s="140">
        <f t="shared" si="219"/>
        <v>141</v>
      </c>
      <c r="C622" s="120" t="s">
        <v>51</v>
      </c>
      <c r="D622" s="120" t="s">
        <v>248</v>
      </c>
      <c r="E622" s="121">
        <v>1975</v>
      </c>
      <c r="F622" s="121">
        <v>2013</v>
      </c>
      <c r="G622" s="121" t="s">
        <v>43</v>
      </c>
      <c r="H622" s="121">
        <v>4</v>
      </c>
      <c r="I622" s="121">
        <v>3</v>
      </c>
      <c r="J622" s="107">
        <v>2508.8000000000002</v>
      </c>
      <c r="K622" s="107">
        <v>1514.2</v>
      </c>
      <c r="L622" s="107">
        <v>994.6</v>
      </c>
      <c r="M622" s="122">
        <v>75</v>
      </c>
      <c r="N622" s="123">
        <f t="shared" si="220"/>
        <v>7038538.1019435525</v>
      </c>
      <c r="O622" s="107"/>
      <c r="P622" s="108"/>
      <c r="Q622" s="108"/>
      <c r="R622" s="108">
        <f>+AQ622+AR622</f>
        <v>1308728.82</v>
      </c>
      <c r="S622" s="108">
        <f>+'Приложение №2'!E622-'Приложение №1'!R622</f>
        <v>5729809.2819435522</v>
      </c>
      <c r="T622" s="108">
        <v>0</v>
      </c>
      <c r="U622" s="108">
        <f t="shared" si="213"/>
        <v>4648.3543137918059</v>
      </c>
      <c r="V622" s="108">
        <v>1308.2830200640001</v>
      </c>
      <c r="W622" s="135">
        <v>2024</v>
      </c>
      <c r="X622" s="28" t="e">
        <f>+#REF!-'[1]Приложение №1'!$P1084</f>
        <v>#REF!</v>
      </c>
      <c r="Z622" s="30">
        <f t="shared" si="221"/>
        <v>4819950.573373301</v>
      </c>
      <c r="AA622" s="26">
        <v>3881391.7568713003</v>
      </c>
      <c r="AB622" s="26">
        <v>0</v>
      </c>
      <c r="AC622" s="26">
        <v>0</v>
      </c>
      <c r="AD622" s="26">
        <v>0</v>
      </c>
      <c r="AE622" s="26">
        <v>673980.27639599994</v>
      </c>
      <c r="AF622" s="26"/>
      <c r="AG622" s="26">
        <v>0</v>
      </c>
      <c r="AH622" s="26">
        <v>0</v>
      </c>
      <c r="AI622" s="26">
        <v>0</v>
      </c>
      <c r="AJ622" s="26">
        <v>0</v>
      </c>
      <c r="AK622" s="26">
        <v>0</v>
      </c>
      <c r="AL622" s="26">
        <v>0</v>
      </c>
      <c r="AM622" s="26">
        <v>119126.95999999999</v>
      </c>
      <c r="AN622" s="26">
        <v>45834.82</v>
      </c>
      <c r="AO622" s="32">
        <v>99616.760106000002</v>
      </c>
      <c r="AP622" s="77">
        <f>+N622-'Приложение №2'!E622</f>
        <v>0</v>
      </c>
      <c r="AQ622" s="1">
        <f>1043129.13-91747.11</f>
        <v>951382.02</v>
      </c>
      <c r="AR622" s="1">
        <f t="shared" si="222"/>
        <v>357346.8</v>
      </c>
      <c r="AS622" s="1">
        <f>+(K622*10+L622*20)*12*30</f>
        <v>12612240</v>
      </c>
      <c r="AT622" s="28">
        <f t="shared" si="215"/>
        <v>-6882430.7180564478</v>
      </c>
      <c r="AU622" s="28">
        <f>+P622-'[6]Приложение №1'!$P591</f>
        <v>0</v>
      </c>
      <c r="AV622" s="28">
        <f>+Q622-'[6]Приложение №1'!$Q591</f>
        <v>0</v>
      </c>
      <c r="AW622" s="28">
        <f>+R622-'[6]Приложение №1'!$R591</f>
        <v>0</v>
      </c>
      <c r="AX622" s="28">
        <f>+S622-'[6]Приложение №1'!$S591</f>
        <v>2713017.4866718529</v>
      </c>
      <c r="AY622" s="28">
        <f>+T622-'[6]Приложение №1'!$T591</f>
        <v>0</v>
      </c>
    </row>
    <row r="623" spans="1:51" x14ac:dyDescent="0.25">
      <c r="A623" s="139">
        <f t="shared" si="218"/>
        <v>604</v>
      </c>
      <c r="B623" s="140">
        <f t="shared" si="219"/>
        <v>142</v>
      </c>
      <c r="C623" s="120" t="s">
        <v>51</v>
      </c>
      <c r="D623" s="120" t="s">
        <v>427</v>
      </c>
      <c r="E623" s="121">
        <v>1965</v>
      </c>
      <c r="F623" s="121">
        <v>2005</v>
      </c>
      <c r="G623" s="121" t="s">
        <v>43</v>
      </c>
      <c r="H623" s="121">
        <v>4</v>
      </c>
      <c r="I623" s="121">
        <v>4</v>
      </c>
      <c r="J623" s="107">
        <v>2661.8</v>
      </c>
      <c r="K623" s="107">
        <v>2220.4</v>
      </c>
      <c r="L623" s="107">
        <v>229.71</v>
      </c>
      <c r="M623" s="122">
        <v>111</v>
      </c>
      <c r="N623" s="123">
        <f t="shared" si="220"/>
        <v>38805142.746190399</v>
      </c>
      <c r="O623" s="107"/>
      <c r="P623" s="108">
        <v>4053855.5148114995</v>
      </c>
      <c r="Q623" s="108"/>
      <c r="R623" s="108">
        <v>0</v>
      </c>
      <c r="S623" s="108">
        <f>+AS623</f>
        <v>9647352</v>
      </c>
      <c r="T623" s="108">
        <f>+'Приложение №2'!E623-'Приложение №1'!P623-'Приложение №1'!Q623-'Приложение №1'!R623-'Приложение №1'!S623</f>
        <v>25103935.231378898</v>
      </c>
      <c r="U623" s="108">
        <f t="shared" si="213"/>
        <v>17476.645084755179</v>
      </c>
      <c r="V623" s="108">
        <v>1309.2830200640001</v>
      </c>
      <c r="W623" s="135">
        <v>2024</v>
      </c>
      <c r="X623" s="28" t="e">
        <f>+#REF!-'[1]Приложение №1'!$P1671</f>
        <v>#REF!</v>
      </c>
      <c r="Z623" s="30">
        <f t="shared" si="221"/>
        <v>26489548.390000001</v>
      </c>
      <c r="AA623" s="26">
        <v>5804794.2058142396</v>
      </c>
      <c r="AB623" s="26">
        <v>2068486.8169081199</v>
      </c>
      <c r="AC623" s="26">
        <v>2161108.4722953597</v>
      </c>
      <c r="AD623" s="26">
        <v>1352990.5470060001</v>
      </c>
      <c r="AE623" s="26">
        <v>827809.00358814001</v>
      </c>
      <c r="AF623" s="26"/>
      <c r="AG623" s="26">
        <v>222745.84764851996</v>
      </c>
      <c r="AH623" s="26">
        <v>0</v>
      </c>
      <c r="AI623" s="26">
        <v>10612047.031450199</v>
      </c>
      <c r="AJ623" s="26">
        <v>0</v>
      </c>
      <c r="AK623" s="26">
        <v>0</v>
      </c>
      <c r="AL623" s="26">
        <v>0</v>
      </c>
      <c r="AM623" s="26">
        <v>2670614.5608000001</v>
      </c>
      <c r="AN623" s="31">
        <v>264895.48389999999</v>
      </c>
      <c r="AO623" s="32">
        <v>504056.42058942007</v>
      </c>
      <c r="AP623" s="77">
        <f>+N623-'Приложение №2'!E623</f>
        <v>0</v>
      </c>
      <c r="AQ623" s="28">
        <f>1367704.99-R106</f>
        <v>-250412.20564000006</v>
      </c>
      <c r="AR623" s="1">
        <f t="shared" si="222"/>
        <v>273341.64</v>
      </c>
      <c r="AS623" s="1">
        <f>+(K623*10+L623*20)*12*30</f>
        <v>9647352</v>
      </c>
      <c r="AT623" s="28">
        <f t="shared" si="215"/>
        <v>0</v>
      </c>
      <c r="AU623" s="28">
        <f>+P623-'[6]Приложение №1'!$P592</f>
        <v>0</v>
      </c>
      <c r="AV623" s="28">
        <f>+Q623-'[6]Приложение №1'!$Q592</f>
        <v>0</v>
      </c>
      <c r="AW623" s="28">
        <f>+R623-'[6]Приложение №1'!$R592</f>
        <v>0</v>
      </c>
      <c r="AX623" s="28">
        <f>+S623-'[6]Приложение №1'!$S592</f>
        <v>0</v>
      </c>
      <c r="AY623" s="28">
        <f>+T623-'[6]Приложение №1'!$T592</f>
        <v>0</v>
      </c>
    </row>
    <row r="624" spans="1:51" x14ac:dyDescent="0.25">
      <c r="A624" s="139">
        <f t="shared" si="218"/>
        <v>605</v>
      </c>
      <c r="B624" s="140">
        <f t="shared" si="219"/>
        <v>143</v>
      </c>
      <c r="C624" s="120" t="s">
        <v>51</v>
      </c>
      <c r="D624" s="120" t="s">
        <v>540</v>
      </c>
      <c r="E624" s="121">
        <v>1978</v>
      </c>
      <c r="F624" s="121">
        <v>2013</v>
      </c>
      <c r="G624" s="121" t="s">
        <v>83</v>
      </c>
      <c r="H624" s="121">
        <v>4</v>
      </c>
      <c r="I624" s="121">
        <v>4</v>
      </c>
      <c r="J624" s="107">
        <v>3896.3</v>
      </c>
      <c r="K624" s="107">
        <v>3202.2</v>
      </c>
      <c r="L624" s="107">
        <v>496.4</v>
      </c>
      <c r="M624" s="122">
        <v>146</v>
      </c>
      <c r="N624" s="123">
        <f t="shared" si="220"/>
        <v>7189674.5525713367</v>
      </c>
      <c r="O624" s="107"/>
      <c r="P624" s="108"/>
      <c r="Q624" s="108"/>
      <c r="R624" s="108">
        <f>+AQ624+AR624</f>
        <v>1567951.74</v>
      </c>
      <c r="S624" s="108">
        <f>+'Приложение №2'!E624-'Приложение №1'!R624</f>
        <v>5621722.8125713365</v>
      </c>
      <c r="T624" s="108">
        <v>0</v>
      </c>
      <c r="U624" s="108">
        <f t="shared" si="213"/>
        <v>2245.2297022582402</v>
      </c>
      <c r="V624" s="108">
        <v>1310.2830200640001</v>
      </c>
      <c r="W624" s="135">
        <v>2024</v>
      </c>
      <c r="X624" s="28" t="e">
        <f>+#REF!-'[1]Приложение №1'!$P1086</f>
        <v>#REF!</v>
      </c>
      <c r="Z624" s="30">
        <f t="shared" si="221"/>
        <v>7985643.379999999</v>
      </c>
      <c r="AA624" s="26">
        <v>5709280.8574947594</v>
      </c>
      <c r="AB624" s="26">
        <v>0</v>
      </c>
      <c r="AC624" s="26">
        <v>0</v>
      </c>
      <c r="AD624" s="26">
        <v>0</v>
      </c>
      <c r="AE624" s="26">
        <v>1063162.7663680802</v>
      </c>
      <c r="AF624" s="26"/>
      <c r="AG624" s="26">
        <v>0</v>
      </c>
      <c r="AH624" s="26">
        <v>0</v>
      </c>
      <c r="AI624" s="26">
        <v>0</v>
      </c>
      <c r="AJ624" s="26">
        <v>0</v>
      </c>
      <c r="AK624" s="26">
        <v>0</v>
      </c>
      <c r="AL624" s="26">
        <v>0</v>
      </c>
      <c r="AM624" s="26">
        <v>985243.69680000003</v>
      </c>
      <c r="AN624" s="31">
        <v>79856.433799999999</v>
      </c>
      <c r="AO624" s="32">
        <v>148099.62553716</v>
      </c>
      <c r="AP624" s="77">
        <f>+N624-'Приложение №2'!E624</f>
        <v>0</v>
      </c>
      <c r="AQ624" s="1">
        <f>1243271.94-103210.2</f>
        <v>1140061.74</v>
      </c>
      <c r="AR624" s="1">
        <f t="shared" si="222"/>
        <v>427890</v>
      </c>
      <c r="AS624" s="1">
        <f>+(K624*10+L624*20)*12*30</f>
        <v>15102000</v>
      </c>
      <c r="AT624" s="28">
        <f t="shared" si="215"/>
        <v>-9480277.1874286644</v>
      </c>
      <c r="AU624" s="28">
        <f>+P624-'[6]Приложение №1'!$P593</f>
        <v>0</v>
      </c>
      <c r="AV624" s="28">
        <f>+Q624-'[6]Приложение №1'!$Q593</f>
        <v>0</v>
      </c>
      <c r="AW624" s="28">
        <f>+R624-'[6]Приложение №1'!$R593</f>
        <v>0</v>
      </c>
      <c r="AX624" s="28">
        <f>+S624-'[6]Приложение №1'!$S593</f>
        <v>778541.29257133696</v>
      </c>
      <c r="AY624" s="28">
        <f>+T624-'[6]Приложение №1'!$T593</f>
        <v>0</v>
      </c>
    </row>
    <row r="625" spans="1:51" x14ac:dyDescent="0.25">
      <c r="A625" s="139">
        <f t="shared" si="218"/>
        <v>606</v>
      </c>
      <c r="B625" s="140">
        <f t="shared" si="219"/>
        <v>144</v>
      </c>
      <c r="C625" s="120" t="s">
        <v>51</v>
      </c>
      <c r="D625" s="120" t="s">
        <v>541</v>
      </c>
      <c r="E625" s="121">
        <v>1964</v>
      </c>
      <c r="F625" s="121">
        <v>2009</v>
      </c>
      <c r="G625" s="121" t="s">
        <v>43</v>
      </c>
      <c r="H625" s="121">
        <v>4</v>
      </c>
      <c r="I625" s="121">
        <v>2</v>
      </c>
      <c r="J625" s="107">
        <v>1462.3</v>
      </c>
      <c r="K625" s="107">
        <v>1198.5999999999999</v>
      </c>
      <c r="L625" s="107">
        <v>42.9</v>
      </c>
      <c r="M625" s="122">
        <v>60</v>
      </c>
      <c r="N625" s="123">
        <f t="shared" si="220"/>
        <v>19780526.76326644</v>
      </c>
      <c r="O625" s="107"/>
      <c r="P625" s="108">
        <v>3352595.9358166102</v>
      </c>
      <c r="Q625" s="108"/>
      <c r="R625" s="108">
        <f>+AQ625+AR625</f>
        <v>1864767.02</v>
      </c>
      <c r="S625" s="108">
        <f>+AS625</f>
        <v>4623840</v>
      </c>
      <c r="T625" s="108">
        <f>+'Приложение №2'!E625-'Приложение №1'!P625-'Приложение №1'!R625-'Приложение №1'!S625</f>
        <v>9939323.8074498307</v>
      </c>
      <c r="U625" s="108">
        <f t="shared" si="213"/>
        <v>16503.02583286037</v>
      </c>
      <c r="V625" s="108">
        <v>1311.2830200640001</v>
      </c>
      <c r="W625" s="135">
        <v>2024</v>
      </c>
      <c r="X625" s="28" t="e">
        <f>+#REF!-'[1]Приложение №1'!$P1087</f>
        <v>#REF!</v>
      </c>
      <c r="Z625" s="30">
        <f t="shared" si="221"/>
        <v>20418803.97526928</v>
      </c>
      <c r="AA625" s="26">
        <v>3233669.8007460004</v>
      </c>
      <c r="AB625" s="26">
        <v>1144519.81959</v>
      </c>
      <c r="AC625" s="26">
        <v>1220789.9808032832</v>
      </c>
      <c r="AD625" s="26">
        <v>768385.93582799996</v>
      </c>
      <c r="AE625" s="26">
        <v>553182.05875800003</v>
      </c>
      <c r="AF625" s="26"/>
      <c r="AG625" s="26">
        <v>117081.436122</v>
      </c>
      <c r="AH625" s="26">
        <v>0</v>
      </c>
      <c r="AI625" s="26">
        <v>5981715.0371580003</v>
      </c>
      <c r="AJ625" s="26">
        <v>0</v>
      </c>
      <c r="AK625" s="26">
        <v>3107129.5399619997</v>
      </c>
      <c r="AL625" s="26">
        <v>3344141.2588049173</v>
      </c>
      <c r="AM625" s="26">
        <v>451116.49</v>
      </c>
      <c r="AN625" s="26">
        <v>71289.704895854607</v>
      </c>
      <c r="AO625" s="32">
        <v>425782.9126012288</v>
      </c>
      <c r="AP625" s="77">
        <f>+N625-'Приложение №2'!E625</f>
        <v>0</v>
      </c>
      <c r="AQ625" s="1">
        <f>1820010.79-86252.57</f>
        <v>1733758.22</v>
      </c>
      <c r="AR625" s="1">
        <f t="shared" si="222"/>
        <v>131008.8</v>
      </c>
      <c r="AS625" s="1">
        <f>+(K625*10+L625*20)*12*30</f>
        <v>4623840</v>
      </c>
      <c r="AT625" s="28">
        <f t="shared" si="215"/>
        <v>0</v>
      </c>
      <c r="AU625" s="28">
        <f>+P625-'[6]Приложение №1'!$P594</f>
        <v>0</v>
      </c>
      <c r="AV625" s="28">
        <f>+Q625-'[6]Приложение №1'!$Q594</f>
        <v>0</v>
      </c>
      <c r="AW625" s="28">
        <f>+R625-'[6]Приложение №1'!$R594</f>
        <v>0</v>
      </c>
      <c r="AX625" s="28">
        <f>+S625-'[6]Приложение №1'!$S594</f>
        <v>0</v>
      </c>
      <c r="AY625" s="28">
        <f>+T625-'[6]Приложение №1'!$T594</f>
        <v>0</v>
      </c>
    </row>
    <row r="626" spans="1:51" x14ac:dyDescent="0.25">
      <c r="A626" s="139">
        <f t="shared" si="218"/>
        <v>607</v>
      </c>
      <c r="B626" s="140">
        <f t="shared" si="219"/>
        <v>145</v>
      </c>
      <c r="C626" s="120" t="s">
        <v>51</v>
      </c>
      <c r="D626" s="120" t="s">
        <v>481</v>
      </c>
      <c r="E626" s="121">
        <v>1972</v>
      </c>
      <c r="F626" s="121">
        <v>2013</v>
      </c>
      <c r="G626" s="121" t="s">
        <v>83</v>
      </c>
      <c r="H626" s="121">
        <v>4</v>
      </c>
      <c r="I626" s="121">
        <v>4</v>
      </c>
      <c r="J626" s="107">
        <v>4681.66</v>
      </c>
      <c r="K626" s="107">
        <v>3441.2</v>
      </c>
      <c r="L626" s="107">
        <v>0</v>
      </c>
      <c r="M626" s="122">
        <v>142</v>
      </c>
      <c r="N626" s="123">
        <f t="shared" si="220"/>
        <v>8007344.6621759981</v>
      </c>
      <c r="O626" s="107"/>
      <c r="P626" s="108"/>
      <c r="Q626" s="108"/>
      <c r="R626" s="108">
        <f>+AQ626+AR626</f>
        <v>669586.68582399981</v>
      </c>
      <c r="S626" s="108">
        <f>+'Приложение №2'!E626-'Приложение №1'!R626</f>
        <v>7337757.9763519987</v>
      </c>
      <c r="T626" s="108">
        <v>0</v>
      </c>
      <c r="U626" s="108">
        <f t="shared" si="213"/>
        <v>2326.9047605997903</v>
      </c>
      <c r="V626" s="108">
        <v>1312.2830200640001</v>
      </c>
      <c r="W626" s="135">
        <v>2024</v>
      </c>
      <c r="X626" s="28" t="e">
        <f>+#REF!-'[1]Приложение №1'!$P1166</f>
        <v>#REF!</v>
      </c>
      <c r="Z626" s="30">
        <f t="shared" si="221"/>
        <v>10554632.254175998</v>
      </c>
      <c r="AA626" s="26">
        <v>0</v>
      </c>
      <c r="AB626" s="26">
        <v>0</v>
      </c>
      <c r="AC626" s="26">
        <v>0</v>
      </c>
      <c r="AD626" s="26">
        <v>0</v>
      </c>
      <c r="AE626" s="26">
        <v>1346569.54</v>
      </c>
      <c r="AF626" s="26"/>
      <c r="AG626" s="26">
        <v>0</v>
      </c>
      <c r="AH626" s="26">
        <v>0</v>
      </c>
      <c r="AI626" s="26">
        <v>0</v>
      </c>
      <c r="AJ626" s="26">
        <v>0</v>
      </c>
      <c r="AK626" s="26">
        <v>0</v>
      </c>
      <c r="AL626" s="26">
        <v>7829891.4404087989</v>
      </c>
      <c r="AM626" s="26">
        <v>1108317.8799999999</v>
      </c>
      <c r="AN626" s="31">
        <v>92400.171999999991</v>
      </c>
      <c r="AO626" s="32">
        <v>177453.22176719998</v>
      </c>
      <c r="AP626" s="77">
        <f>+N626-'Приложение №2'!E626</f>
        <v>0</v>
      </c>
      <c r="AQ626" s="28">
        <f>1671383.18-R317</f>
        <v>318584.2858239999</v>
      </c>
      <c r="AR626" s="1">
        <f t="shared" si="222"/>
        <v>351002.39999999997</v>
      </c>
      <c r="AS626" s="1">
        <f>+(K626*10+L626*20)*12*30-S317</f>
        <v>12388320</v>
      </c>
      <c r="AT626" s="28">
        <f t="shared" si="215"/>
        <v>-5050562.0236480013</v>
      </c>
      <c r="AU626" s="28">
        <f>+P626-'[6]Приложение №1'!$P595</f>
        <v>0</v>
      </c>
      <c r="AV626" s="28">
        <f>+Q626-'[6]Приложение №1'!$Q595</f>
        <v>0</v>
      </c>
      <c r="AW626" s="28">
        <f>+R626-'[6]Приложение №1'!$R595</f>
        <v>0</v>
      </c>
      <c r="AX626" s="28">
        <f>+S626-'[6]Приложение №1'!$S595</f>
        <v>0</v>
      </c>
      <c r="AY626" s="28">
        <f>+T626-'[6]Приложение №1'!$T595</f>
        <v>0</v>
      </c>
    </row>
    <row r="627" spans="1:51" x14ac:dyDescent="0.25">
      <c r="A627" s="139">
        <f t="shared" si="218"/>
        <v>608</v>
      </c>
      <c r="B627" s="140">
        <f t="shared" si="219"/>
        <v>146</v>
      </c>
      <c r="C627" s="120" t="s">
        <v>51</v>
      </c>
      <c r="D627" s="120" t="s">
        <v>542</v>
      </c>
      <c r="E627" s="121">
        <v>1988</v>
      </c>
      <c r="F627" s="121">
        <v>1988</v>
      </c>
      <c r="G627" s="121" t="s">
        <v>43</v>
      </c>
      <c r="H627" s="121">
        <v>4</v>
      </c>
      <c r="I627" s="121">
        <v>3</v>
      </c>
      <c r="J627" s="107">
        <v>2941.3</v>
      </c>
      <c r="K627" s="107">
        <v>2307</v>
      </c>
      <c r="L627" s="107">
        <v>634.29999999999995</v>
      </c>
      <c r="M627" s="122">
        <v>71</v>
      </c>
      <c r="N627" s="123">
        <f t="shared" si="220"/>
        <v>5881515.5899999999</v>
      </c>
      <c r="O627" s="107"/>
      <c r="P627" s="108"/>
      <c r="Q627" s="108"/>
      <c r="R627" s="108">
        <f>+AQ627+AR627</f>
        <v>2027468.3699999999</v>
      </c>
      <c r="S627" s="108">
        <f>+'Приложение №2'!E627-'Приложение №1'!R627</f>
        <v>3854047.2199999997</v>
      </c>
      <c r="T627" s="108">
        <v>0</v>
      </c>
      <c r="U627" s="108">
        <f t="shared" si="213"/>
        <v>2549.421582141309</v>
      </c>
      <c r="V627" s="108">
        <v>1313.2830200640001</v>
      </c>
      <c r="W627" s="135">
        <v>2024</v>
      </c>
      <c r="X627" s="28" t="e">
        <f>+#REF!-'[1]Приложение №1'!$P1092</f>
        <v>#REF!</v>
      </c>
      <c r="Z627" s="30">
        <f t="shared" si="221"/>
        <v>5881515.5899999999</v>
      </c>
      <c r="AA627" s="26">
        <v>0</v>
      </c>
      <c r="AB627" s="26">
        <v>0</v>
      </c>
      <c r="AC627" s="26">
        <v>0</v>
      </c>
      <c r="AD627" s="26">
        <v>0</v>
      </c>
      <c r="AE627" s="26">
        <v>0</v>
      </c>
      <c r="AF627" s="26"/>
      <c r="AG627" s="26">
        <v>0</v>
      </c>
      <c r="AH627" s="26">
        <v>0</v>
      </c>
      <c r="AI627" s="26">
        <v>0</v>
      </c>
      <c r="AJ627" s="26">
        <v>0</v>
      </c>
      <c r="AK627" s="26">
        <v>5547799.158590666</v>
      </c>
      <c r="AL627" s="26">
        <v>0</v>
      </c>
      <c r="AM627" s="26">
        <v>176500.30000340639</v>
      </c>
      <c r="AN627" s="26">
        <v>35897</v>
      </c>
      <c r="AO627" s="32">
        <v>121319.13140592711</v>
      </c>
      <c r="AP627" s="77">
        <f>+N627-'Приложение №2'!E627</f>
        <v>0</v>
      </c>
      <c r="AQ627" s="1">
        <v>1662757.17</v>
      </c>
      <c r="AR627" s="1">
        <f t="shared" si="222"/>
        <v>364711.2</v>
      </c>
      <c r="AS627" s="1">
        <f>+(K627*10+L627*20)*12*30</f>
        <v>12872160</v>
      </c>
      <c r="AT627" s="28">
        <f t="shared" si="215"/>
        <v>-9018112.7800000012</v>
      </c>
      <c r="AU627" s="28">
        <f>+P627-'[6]Приложение №1'!$P596</f>
        <v>0</v>
      </c>
      <c r="AV627" s="28">
        <f>+Q627-'[6]Приложение №1'!$Q596</f>
        <v>0</v>
      </c>
      <c r="AW627" s="28">
        <f>+R627-'[6]Приложение №1'!$R596</f>
        <v>0</v>
      </c>
      <c r="AX627" s="28">
        <f>+S627-'[6]Приложение №1'!$S596</f>
        <v>0</v>
      </c>
      <c r="AY627" s="28">
        <f>+T627-'[6]Приложение №1'!$T596</f>
        <v>0</v>
      </c>
    </row>
    <row r="628" spans="1:51" x14ac:dyDescent="0.25">
      <c r="A628" s="139">
        <f t="shared" si="218"/>
        <v>609</v>
      </c>
      <c r="B628" s="140">
        <f t="shared" si="219"/>
        <v>147</v>
      </c>
      <c r="C628" s="120" t="s">
        <v>51</v>
      </c>
      <c r="D628" s="120" t="s">
        <v>434</v>
      </c>
      <c r="E628" s="121">
        <v>1980</v>
      </c>
      <c r="F628" s="121">
        <v>2008</v>
      </c>
      <c r="G628" s="121" t="s">
        <v>83</v>
      </c>
      <c r="H628" s="121">
        <v>5</v>
      </c>
      <c r="I628" s="121">
        <v>6</v>
      </c>
      <c r="J628" s="107">
        <v>7149.4</v>
      </c>
      <c r="K628" s="107">
        <v>6325.2</v>
      </c>
      <c r="L628" s="107">
        <v>0</v>
      </c>
      <c r="M628" s="122">
        <v>293</v>
      </c>
      <c r="N628" s="123">
        <f t="shared" si="220"/>
        <v>37045747.3191</v>
      </c>
      <c r="O628" s="107"/>
      <c r="P628" s="108">
        <v>8196713.8379999995</v>
      </c>
      <c r="Q628" s="108"/>
      <c r="R628" s="108">
        <f>+AR628</f>
        <v>645170.4</v>
      </c>
      <c r="S628" s="108"/>
      <c r="T628" s="108">
        <f>+'Приложение №2'!E628-'Приложение №1'!P628-'Приложение №1'!R628-'Приложение №1'!S628</f>
        <v>28203863.081100002</v>
      </c>
      <c r="U628" s="108">
        <f t="shared" si="213"/>
        <v>5856.8499524283816</v>
      </c>
      <c r="V628" s="108">
        <v>1314.2830200640001</v>
      </c>
      <c r="W628" s="135">
        <v>2024</v>
      </c>
      <c r="X628" s="28" t="e">
        <f>+#REF!-'[1]Приложение №1'!$P1436</f>
        <v>#REF!</v>
      </c>
      <c r="Z628" s="30">
        <f t="shared" si="221"/>
        <v>114548451.67</v>
      </c>
      <c r="AA628" s="26">
        <v>10489330.258041179</v>
      </c>
      <c r="AB628" s="26">
        <v>6066266.4462859211</v>
      </c>
      <c r="AC628" s="26">
        <v>6412492.7922270596</v>
      </c>
      <c r="AD628" s="26">
        <v>4889580.2685996005</v>
      </c>
      <c r="AE628" s="26">
        <v>1953287.2251610199</v>
      </c>
      <c r="AF628" s="26"/>
      <c r="AG628" s="26">
        <v>521212.05792599992</v>
      </c>
      <c r="AH628" s="26">
        <v>0</v>
      </c>
      <c r="AI628" s="26">
        <v>18672604.894377001</v>
      </c>
      <c r="AJ628" s="26">
        <v>0</v>
      </c>
      <c r="AK628" s="26">
        <v>36252968.326471262</v>
      </c>
      <c r="AL628" s="26">
        <v>14257827.475101</v>
      </c>
      <c r="AM628" s="26">
        <v>11711193.4519</v>
      </c>
      <c r="AN628" s="31">
        <v>1145484.5167</v>
      </c>
      <c r="AO628" s="32">
        <v>2176203.9572099601</v>
      </c>
      <c r="AP628" s="77">
        <f>+N628-'Приложение №2'!E628</f>
        <v>0</v>
      </c>
      <c r="AQ628" s="1">
        <v>3044323.81</v>
      </c>
      <c r="AR628" s="1">
        <f t="shared" si="222"/>
        <v>645170.4</v>
      </c>
      <c r="AS628" s="1">
        <f>+(K628*10+L628*20)*12*30</f>
        <v>22770720</v>
      </c>
      <c r="AT628" s="28">
        <f t="shared" si="215"/>
        <v>-22770720</v>
      </c>
      <c r="AU628" s="28">
        <f>+P628-'[6]Приложение №1'!$P597</f>
        <v>0</v>
      </c>
      <c r="AV628" s="28">
        <f>+Q628-'[6]Приложение №1'!$Q597</f>
        <v>0</v>
      </c>
      <c r="AW628" s="28">
        <f>+R628-'[6]Приложение №1'!$R597</f>
        <v>0</v>
      </c>
      <c r="AX628" s="28">
        <f>+S628-'[6]Приложение №1'!$S597</f>
        <v>0</v>
      </c>
      <c r="AY628" s="28">
        <f>+T628-'[6]Приложение №1'!$T597</f>
        <v>0</v>
      </c>
    </row>
    <row r="629" spans="1:51" x14ac:dyDescent="0.25">
      <c r="A629" s="139">
        <f t="shared" si="218"/>
        <v>610</v>
      </c>
      <c r="B629" s="140">
        <f t="shared" si="219"/>
        <v>148</v>
      </c>
      <c r="C629" s="120" t="s">
        <v>51</v>
      </c>
      <c r="D629" s="120" t="s">
        <v>543</v>
      </c>
      <c r="E629" s="121">
        <v>1994</v>
      </c>
      <c r="F629" s="121">
        <v>2013</v>
      </c>
      <c r="G629" s="121" t="s">
        <v>43</v>
      </c>
      <c r="H629" s="121">
        <v>4</v>
      </c>
      <c r="I629" s="121">
        <v>2</v>
      </c>
      <c r="J629" s="107">
        <v>1882.24</v>
      </c>
      <c r="K629" s="107">
        <v>1768.8</v>
      </c>
      <c r="L629" s="107">
        <v>0</v>
      </c>
      <c r="M629" s="122">
        <v>61</v>
      </c>
      <c r="N629" s="123">
        <f t="shared" si="220"/>
        <v>1573497.0647</v>
      </c>
      <c r="O629" s="107"/>
      <c r="P629" s="108"/>
      <c r="Q629" s="108"/>
      <c r="R629" s="108">
        <f>+AQ629+AR629</f>
        <v>991969.75</v>
      </c>
      <c r="S629" s="108">
        <f>+'Приложение №2'!E629-'Приложение №1'!R629</f>
        <v>581527.31469999999</v>
      </c>
      <c r="T629" s="108">
        <v>0</v>
      </c>
      <c r="U629" s="108">
        <f t="shared" si="213"/>
        <v>889.58450062189058</v>
      </c>
      <c r="V629" s="108">
        <v>1315.2830200640001</v>
      </c>
      <c r="W629" s="135">
        <v>2024</v>
      </c>
      <c r="X629" s="28" t="e">
        <f>+#REF!-'[1]Приложение №1'!$P692</f>
        <v>#REF!</v>
      </c>
      <c r="Z629" s="30">
        <f t="shared" si="221"/>
        <v>6275488.2600000007</v>
      </c>
      <c r="AA629" s="26">
        <v>0</v>
      </c>
      <c r="AB629" s="26">
        <v>0</v>
      </c>
      <c r="AC629" s="26">
        <v>1539824.2275154199</v>
      </c>
      <c r="AD629" s="26">
        <v>0</v>
      </c>
      <c r="AE629" s="26">
        <v>0</v>
      </c>
      <c r="AF629" s="26"/>
      <c r="AG629" s="26">
        <v>0</v>
      </c>
      <c r="AH629" s="26">
        <v>0</v>
      </c>
      <c r="AI629" s="26">
        <v>0</v>
      </c>
      <c r="AJ629" s="26">
        <v>0</v>
      </c>
      <c r="AK629" s="26">
        <v>3925837.3744846201</v>
      </c>
      <c r="AL629" s="26">
        <v>0</v>
      </c>
      <c r="AM629" s="26">
        <v>627548.82600000012</v>
      </c>
      <c r="AN629" s="31">
        <v>62754.882599999997</v>
      </c>
      <c r="AO629" s="32">
        <v>119522.94939995998</v>
      </c>
      <c r="AP629" s="77">
        <f>+N629-'Приложение №2'!E629</f>
        <v>0</v>
      </c>
      <c r="AQ629" s="1">
        <v>811552.15</v>
      </c>
      <c r="AR629" s="1">
        <f t="shared" si="222"/>
        <v>180417.6</v>
      </c>
      <c r="AS629" s="1">
        <f>+(K629*10+L629*20)*12*30</f>
        <v>6367680</v>
      </c>
      <c r="AT629" s="28">
        <f t="shared" si="215"/>
        <v>-5786152.6853</v>
      </c>
      <c r="AU629" s="28">
        <f>+P629-'[6]Приложение №1'!$P598</f>
        <v>0</v>
      </c>
      <c r="AV629" s="28">
        <f>+Q629-'[6]Приложение №1'!$Q598</f>
        <v>0</v>
      </c>
      <c r="AW629" s="28">
        <f>+R629-'[6]Приложение №1'!$R598</f>
        <v>0</v>
      </c>
      <c r="AX629" s="28">
        <f>+S629-'[6]Приложение №1'!$S598</f>
        <v>0</v>
      </c>
      <c r="AY629" s="28">
        <f>+T629-'[6]Приложение №1'!$T598</f>
        <v>0</v>
      </c>
    </row>
    <row r="630" spans="1:51" x14ac:dyDescent="0.25">
      <c r="A630" s="139">
        <f t="shared" si="218"/>
        <v>611</v>
      </c>
      <c r="B630" s="140">
        <f t="shared" si="219"/>
        <v>149</v>
      </c>
      <c r="C630" s="120" t="s">
        <v>51</v>
      </c>
      <c r="D630" s="120" t="s">
        <v>438</v>
      </c>
      <c r="E630" s="121">
        <v>1993</v>
      </c>
      <c r="F630" s="121">
        <v>2013</v>
      </c>
      <c r="G630" s="121" t="s">
        <v>43</v>
      </c>
      <c r="H630" s="121">
        <v>5</v>
      </c>
      <c r="I630" s="121">
        <v>2</v>
      </c>
      <c r="J630" s="107">
        <v>2382.6999999999998</v>
      </c>
      <c r="K630" s="107">
        <v>2177.75</v>
      </c>
      <c r="L630" s="107">
        <v>0</v>
      </c>
      <c r="M630" s="122">
        <v>103</v>
      </c>
      <c r="N630" s="123">
        <f t="shared" si="220"/>
        <v>1136857.68</v>
      </c>
      <c r="O630" s="107"/>
      <c r="P630" s="108"/>
      <c r="Q630" s="108"/>
      <c r="R630" s="108">
        <f>+'Приложение №2'!E630</f>
        <v>1136857.68</v>
      </c>
      <c r="S630" s="108">
        <f>+'Приложение №2'!E630-'Приложение №1'!R630</f>
        <v>0</v>
      </c>
      <c r="T630" s="108">
        <v>0</v>
      </c>
      <c r="U630" s="108">
        <f t="shared" si="213"/>
        <v>522.03314430030991</v>
      </c>
      <c r="V630" s="108">
        <v>1316.2830200640001</v>
      </c>
      <c r="W630" s="135">
        <v>2024</v>
      </c>
      <c r="X630" s="28" t="e">
        <f>+#REF!-'[1]Приложение №1'!$P1484</f>
        <v>#REF!</v>
      </c>
      <c r="Z630" s="30">
        <f t="shared" si="221"/>
        <v>1112857.68</v>
      </c>
      <c r="AA630" s="26">
        <v>0</v>
      </c>
      <c r="AB630" s="26">
        <v>0</v>
      </c>
      <c r="AC630" s="26">
        <v>0</v>
      </c>
      <c r="AD630" s="26">
        <v>0</v>
      </c>
      <c r="AE630" s="26">
        <v>974016.82475999987</v>
      </c>
      <c r="AF630" s="26"/>
      <c r="AG630" s="26">
        <v>0</v>
      </c>
      <c r="AH630" s="26">
        <v>0</v>
      </c>
      <c r="AI630" s="26">
        <v>0</v>
      </c>
      <c r="AJ630" s="26">
        <v>0</v>
      </c>
      <c r="AK630" s="26">
        <v>0</v>
      </c>
      <c r="AL630" s="26">
        <v>0</v>
      </c>
      <c r="AM630" s="26">
        <v>89216.27</v>
      </c>
      <c r="AN630" s="26">
        <v>28324.81</v>
      </c>
      <c r="AO630" s="32">
        <v>21299.775239999999</v>
      </c>
      <c r="AP630" s="77">
        <f>+N630-'Приложение №2'!E630</f>
        <v>0</v>
      </c>
      <c r="AQ630" s="1">
        <v>1043569.01</v>
      </c>
      <c r="AR630" s="1">
        <f t="shared" si="222"/>
        <v>222130.5</v>
      </c>
      <c r="AS630" s="1">
        <f>+(K630*10+L630*20)*12*30</f>
        <v>7839900</v>
      </c>
      <c r="AT630" s="28">
        <f t="shared" si="215"/>
        <v>-7839900</v>
      </c>
      <c r="AU630" s="28">
        <f>+P630-'[6]Приложение №1'!$P599</f>
        <v>0</v>
      </c>
      <c r="AV630" s="28">
        <f>+Q630-'[6]Приложение №1'!$Q599</f>
        <v>0</v>
      </c>
      <c r="AW630" s="28">
        <f>+R630-'[6]Приложение №1'!$R599</f>
        <v>0</v>
      </c>
      <c r="AX630" s="28">
        <f>+S630-'[6]Приложение №1'!$S599</f>
        <v>0</v>
      </c>
      <c r="AY630" s="28">
        <f>+T630-'[6]Приложение №1'!$T599</f>
        <v>0</v>
      </c>
    </row>
    <row r="631" spans="1:51" x14ac:dyDescent="0.25">
      <c r="A631" s="139">
        <f t="shared" si="218"/>
        <v>612</v>
      </c>
      <c r="B631" s="140">
        <f t="shared" si="219"/>
        <v>150</v>
      </c>
      <c r="C631" s="120" t="s">
        <v>51</v>
      </c>
      <c r="D631" s="120" t="s">
        <v>219</v>
      </c>
      <c r="E631" s="121">
        <v>1968</v>
      </c>
      <c r="F631" s="121">
        <v>2013</v>
      </c>
      <c r="G631" s="121" t="s">
        <v>43</v>
      </c>
      <c r="H631" s="121">
        <v>4</v>
      </c>
      <c r="I631" s="121">
        <v>4</v>
      </c>
      <c r="J631" s="107">
        <v>2661.8</v>
      </c>
      <c r="K631" s="107">
        <v>2457.1999999999998</v>
      </c>
      <c r="L631" s="107">
        <v>0</v>
      </c>
      <c r="M631" s="122">
        <v>113</v>
      </c>
      <c r="N631" s="123">
        <f t="shared" si="220"/>
        <v>2536945.4940698305</v>
      </c>
      <c r="O631" s="107"/>
      <c r="P631" s="108"/>
      <c r="Q631" s="108"/>
      <c r="R631" s="108">
        <f>+AQ631+AR631</f>
        <v>1428033.91</v>
      </c>
      <c r="S631" s="108">
        <f>+'Приложение №2'!E631-'Приложение №1'!R631</f>
        <v>1108911.5840698306</v>
      </c>
      <c r="T631" s="108">
        <v>0</v>
      </c>
      <c r="U631" s="108">
        <f t="shared" si="213"/>
        <v>1032.4538068003544</v>
      </c>
      <c r="V631" s="108">
        <v>1317.2830200640001</v>
      </c>
      <c r="W631" s="135">
        <v>2024</v>
      </c>
      <c r="X631" s="28" t="e">
        <f>+#REF!-'[1]Приложение №1'!$P1098</f>
        <v>#REF!</v>
      </c>
      <c r="Z631" s="30">
        <f t="shared" si="221"/>
        <v>3827984.7964527905</v>
      </c>
      <c r="AA631" s="26">
        <v>0</v>
      </c>
      <c r="AB631" s="26">
        <v>2230881.5159207908</v>
      </c>
      <c r="AC631" s="26">
        <v>0</v>
      </c>
      <c r="AD631" s="26">
        <v>0</v>
      </c>
      <c r="AE631" s="26">
        <v>1122695.9924879998</v>
      </c>
      <c r="AF631" s="26"/>
      <c r="AG631" s="26">
        <v>226983.177624</v>
      </c>
      <c r="AH631" s="26">
        <v>0</v>
      </c>
      <c r="AI631" s="26">
        <v>0</v>
      </c>
      <c r="AJ631" s="26">
        <v>0</v>
      </c>
      <c r="AK631" s="26">
        <v>0</v>
      </c>
      <c r="AL631" s="26">
        <v>0</v>
      </c>
      <c r="AM631" s="26">
        <v>128061.95</v>
      </c>
      <c r="AN631" s="26">
        <v>41062.550000000003</v>
      </c>
      <c r="AO631" s="32">
        <v>78299.610419999997</v>
      </c>
      <c r="AP631" s="77">
        <f>+N631-'Приложение №2'!E631</f>
        <v>0</v>
      </c>
      <c r="AQ631" s="1">
        <v>1177399.51</v>
      </c>
      <c r="AR631" s="1">
        <f t="shared" si="222"/>
        <v>250634.4</v>
      </c>
      <c r="AS631" s="1">
        <f>+(K631*10+L631*20)*12*30</f>
        <v>8845920</v>
      </c>
      <c r="AT631" s="28">
        <f t="shared" si="215"/>
        <v>-7737008.4159301696</v>
      </c>
      <c r="AU631" s="28">
        <f>+P631-'[6]Приложение №1'!$P600</f>
        <v>0</v>
      </c>
      <c r="AV631" s="28">
        <f>+Q631-'[6]Приложение №1'!$Q600</f>
        <v>0</v>
      </c>
      <c r="AW631" s="28">
        <f>+R631-'[6]Приложение №1'!$R600</f>
        <v>0</v>
      </c>
      <c r="AX631" s="28">
        <f>+S631-'[6]Приложение №1'!$S600</f>
        <v>0</v>
      </c>
      <c r="AY631" s="28">
        <f>+T631-'[6]Приложение №1'!$T600</f>
        <v>0</v>
      </c>
    </row>
    <row r="632" spans="1:51" x14ac:dyDescent="0.25">
      <c r="A632" s="139">
        <f t="shared" si="218"/>
        <v>613</v>
      </c>
      <c r="B632" s="140">
        <f t="shared" si="219"/>
        <v>151</v>
      </c>
      <c r="C632" s="120" t="s">
        <v>51</v>
      </c>
      <c r="D632" s="120" t="s">
        <v>488</v>
      </c>
      <c r="E632" s="121">
        <v>1973</v>
      </c>
      <c r="F632" s="121">
        <v>2011</v>
      </c>
      <c r="G632" s="121" t="s">
        <v>43</v>
      </c>
      <c r="H632" s="121">
        <v>5</v>
      </c>
      <c r="I632" s="121">
        <v>4</v>
      </c>
      <c r="J632" s="107">
        <v>3343.7</v>
      </c>
      <c r="K632" s="107">
        <v>3061.9</v>
      </c>
      <c r="L632" s="107">
        <v>0</v>
      </c>
      <c r="M632" s="122">
        <v>160</v>
      </c>
      <c r="N632" s="123">
        <f t="shared" si="220"/>
        <v>2783871.0411000005</v>
      </c>
      <c r="O632" s="107"/>
      <c r="P632" s="108">
        <v>703831.2975000001</v>
      </c>
      <c r="Q632" s="108"/>
      <c r="R632" s="108">
        <f>+AR632</f>
        <v>312313.8</v>
      </c>
      <c r="S632" s="108">
        <f>+'Приложение №2'!E632-'Приложение №1'!P632-R632</f>
        <v>1767725.9436000003</v>
      </c>
      <c r="T632" s="108">
        <f>+'Приложение №2'!E632-'Приложение №1'!P632-'Приложение №1'!Q632-'Приложение №1'!R632-'Приложение №1'!S632</f>
        <v>0</v>
      </c>
      <c r="U632" s="108">
        <f t="shared" si="213"/>
        <v>909.19724390084605</v>
      </c>
      <c r="V632" s="108">
        <v>1318.2830200640001</v>
      </c>
      <c r="W632" s="135">
        <v>2024</v>
      </c>
      <c r="X632" s="28" t="e">
        <f>+#REF!-'[1]Приложение №1'!$P1178</f>
        <v>#REF!</v>
      </c>
      <c r="Z632" s="30">
        <f t="shared" si="221"/>
        <v>26291754.259999998</v>
      </c>
      <c r="AA632" s="26">
        <v>0</v>
      </c>
      <c r="AB632" s="26">
        <v>0</v>
      </c>
      <c r="AC632" s="26">
        <v>2724296.2008204604</v>
      </c>
      <c r="AD632" s="26">
        <v>0</v>
      </c>
      <c r="AE632" s="26">
        <v>0</v>
      </c>
      <c r="AF632" s="26"/>
      <c r="AG632" s="26">
        <v>0</v>
      </c>
      <c r="AH632" s="26">
        <v>0</v>
      </c>
      <c r="AI632" s="26">
        <v>13377560.538169799</v>
      </c>
      <c r="AJ632" s="26">
        <v>0</v>
      </c>
      <c r="AK632" s="26">
        <v>6945691.3623090005</v>
      </c>
      <c r="AL632" s="26">
        <v>0</v>
      </c>
      <c r="AM632" s="26">
        <v>2477285.4183</v>
      </c>
      <c r="AN632" s="31">
        <v>262917.54259999999</v>
      </c>
      <c r="AO632" s="32">
        <v>504003.19780074002</v>
      </c>
      <c r="AP632" s="77">
        <f>+N632-'Приложение №2'!E632</f>
        <v>0</v>
      </c>
      <c r="AQ632" s="28">
        <f>1384488.01-R331</f>
        <v>-312313.80000000005</v>
      </c>
      <c r="AR632" s="1">
        <f t="shared" si="222"/>
        <v>312313.8</v>
      </c>
      <c r="AS632" s="1">
        <f>+(K632*10+L632*20)*12*30-S331</f>
        <v>5652010.7351698</v>
      </c>
      <c r="AT632" s="28">
        <f t="shared" si="215"/>
        <v>-3884284.7915697997</v>
      </c>
      <c r="AU632" s="28">
        <f>+P632-'[6]Приложение №1'!$P601</f>
        <v>0</v>
      </c>
      <c r="AV632" s="28">
        <f>+Q632-'[6]Приложение №1'!$Q601</f>
        <v>0</v>
      </c>
      <c r="AW632" s="28">
        <f>+R632-'[6]Приложение №1'!$R601</f>
        <v>0</v>
      </c>
      <c r="AX632" s="28">
        <f>+S632-'[6]Приложение №1'!$S601</f>
        <v>0</v>
      </c>
      <c r="AY632" s="28">
        <f>+T632-'[6]Приложение №1'!$T601</f>
        <v>0</v>
      </c>
    </row>
    <row r="633" spans="1:51" s="34" customFormat="1" x14ac:dyDescent="0.25">
      <c r="A633" s="139">
        <f t="shared" si="218"/>
        <v>614</v>
      </c>
      <c r="B633" s="140">
        <f t="shared" si="219"/>
        <v>152</v>
      </c>
      <c r="C633" s="120" t="s">
        <v>92</v>
      </c>
      <c r="D633" s="120" t="s">
        <v>544</v>
      </c>
      <c r="E633" s="121" t="s">
        <v>107</v>
      </c>
      <c r="F633" s="121"/>
      <c r="G633" s="121" t="s">
        <v>83</v>
      </c>
      <c r="H633" s="121" t="s">
        <v>104</v>
      </c>
      <c r="I633" s="121" t="s">
        <v>101</v>
      </c>
      <c r="J633" s="107">
        <v>4845.3999999999996</v>
      </c>
      <c r="K633" s="107">
        <v>4280.6000000000004</v>
      </c>
      <c r="L633" s="107">
        <v>0</v>
      </c>
      <c r="M633" s="122">
        <v>179</v>
      </c>
      <c r="N633" s="123">
        <f t="shared" si="220"/>
        <v>1970236.371824</v>
      </c>
      <c r="O633" s="107">
        <v>0</v>
      </c>
      <c r="P633" s="108"/>
      <c r="Q633" s="108">
        <v>0</v>
      </c>
      <c r="R633" s="108">
        <f>+'Приложение №2'!E633</f>
        <v>1970236.371824</v>
      </c>
      <c r="S633" s="108">
        <f>+'Приложение №2'!E633-'Приложение №1'!R633</f>
        <v>0</v>
      </c>
      <c r="T633" s="108">
        <v>0</v>
      </c>
      <c r="U633" s="108">
        <f t="shared" si="213"/>
        <v>460.27107691071342</v>
      </c>
      <c r="V633" s="108">
        <v>1319.2830200640001</v>
      </c>
      <c r="W633" s="135">
        <v>2024</v>
      </c>
      <c r="X633" s="34">
        <v>1666495.72</v>
      </c>
      <c r="Y633" s="34">
        <f>+(K633*9.1+L633*18.19)*12</f>
        <v>467441.52</v>
      </c>
      <c r="AA633" s="35">
        <f>+N633-'[5]Приложение № 2'!E567</f>
        <v>-2074232.6981760003</v>
      </c>
      <c r="AD633" s="35">
        <f>+N633-'[5]Приложение № 2'!E567</f>
        <v>-2074232.6981760003</v>
      </c>
      <c r="AP633" s="77">
        <f>+N633-'Приложение №2'!E633</f>
        <v>0</v>
      </c>
      <c r="AQ633" s="34">
        <v>2073658.7</v>
      </c>
      <c r="AR633" s="1">
        <f t="shared" si="222"/>
        <v>436621.2</v>
      </c>
      <c r="AS633" s="1">
        <f>+(K633*10+L633*20)*12*30</f>
        <v>15410160</v>
      </c>
      <c r="AT633" s="28">
        <f t="shared" si="215"/>
        <v>-15410160</v>
      </c>
      <c r="AU633" s="28">
        <f>+P633-'[6]Приложение №1'!$P602</f>
        <v>0</v>
      </c>
      <c r="AV633" s="28">
        <f>+Q633-'[6]Приложение №1'!$Q602</f>
        <v>0</v>
      </c>
      <c r="AW633" s="28">
        <f>+R633-'[6]Приложение №1'!$R602</f>
        <v>0</v>
      </c>
      <c r="AX633" s="28">
        <f>+S633-'[6]Приложение №1'!$S602</f>
        <v>0</v>
      </c>
      <c r="AY633" s="28">
        <f>+T633-'[6]Приложение №1'!$T602</f>
        <v>0</v>
      </c>
    </row>
    <row r="634" spans="1:51" s="34" customFormat="1" x14ac:dyDescent="0.25">
      <c r="A634" s="139">
        <f t="shared" si="218"/>
        <v>615</v>
      </c>
      <c r="B634" s="140">
        <f t="shared" si="219"/>
        <v>153</v>
      </c>
      <c r="C634" s="120" t="s">
        <v>128</v>
      </c>
      <c r="D634" s="120" t="s">
        <v>545</v>
      </c>
      <c r="E634" s="121" t="s">
        <v>93</v>
      </c>
      <c r="F634" s="121"/>
      <c r="G634" s="121" t="s">
        <v>43</v>
      </c>
      <c r="H634" s="121" t="s">
        <v>94</v>
      </c>
      <c r="I634" s="121" t="s">
        <v>95</v>
      </c>
      <c r="J634" s="107">
        <v>6086.8</v>
      </c>
      <c r="K634" s="107">
        <v>4850.1000000000004</v>
      </c>
      <c r="L634" s="107">
        <v>66.400000000000006</v>
      </c>
      <c r="M634" s="122">
        <v>164</v>
      </c>
      <c r="N634" s="123">
        <f>SUM(O634:S634)</f>
        <v>7182720</v>
      </c>
      <c r="O634" s="107">
        <v>0</v>
      </c>
      <c r="P634" s="108">
        <f>+'Приложение №2'!E634-'Приложение №1'!R634</f>
        <v>3904301.1978000002</v>
      </c>
      <c r="Q634" s="108">
        <v>0</v>
      </c>
      <c r="R634" s="108">
        <v>3278418.8021999998</v>
      </c>
      <c r="S634" s="141"/>
      <c r="T634" s="141"/>
      <c r="U634" s="108">
        <f t="shared" si="213"/>
        <v>1480.9426609760621</v>
      </c>
      <c r="V634" s="108">
        <v>1320.2830200640001</v>
      </c>
      <c r="W634" s="135">
        <v>2024</v>
      </c>
      <c r="Y634" s="34">
        <f>+(K634*12.08+L634*20.47)*12</f>
        <v>719380.99200000009</v>
      </c>
      <c r="AA634" s="35">
        <f>+N634-'[5]Приложение № 2'!E568</f>
        <v>3049590.47</v>
      </c>
      <c r="AD634" s="35">
        <f>+N634-'[5]Приложение № 2'!E568</f>
        <v>3049590.47</v>
      </c>
      <c r="AP634" s="77">
        <f>+N634-'Приложение №2'!E634</f>
        <v>0</v>
      </c>
      <c r="AR634" s="1">
        <f>+(K634*13.29+L634*22.52)*12*0.85</f>
        <v>672722.2013999999</v>
      </c>
      <c r="AS634" s="1">
        <f>+(K634*13.29+L634*22.52)*12*30</f>
        <v>23743136.519999996</v>
      </c>
      <c r="AT634" s="28">
        <f t="shared" si="215"/>
        <v>-23743136.519999996</v>
      </c>
      <c r="AU634" s="28">
        <f>+P634-'[6]Приложение №1'!$P603</f>
        <v>0</v>
      </c>
      <c r="AV634" s="28">
        <f>+Q634-'[6]Приложение №1'!$Q603</f>
        <v>0</v>
      </c>
      <c r="AW634" s="28">
        <f>+R634-'[6]Приложение №1'!$R603</f>
        <v>0</v>
      </c>
      <c r="AX634" s="28">
        <f>+S634-'[6]Приложение №1'!$S603</f>
        <v>0</v>
      </c>
      <c r="AY634" s="28">
        <f>+T634-'[6]Приложение №1'!$T603</f>
        <v>0</v>
      </c>
    </row>
    <row r="635" spans="1:51" x14ac:dyDescent="0.25">
      <c r="A635" s="139">
        <f t="shared" si="218"/>
        <v>616</v>
      </c>
      <c r="B635" s="140">
        <f t="shared" si="219"/>
        <v>154</v>
      </c>
      <c r="C635" s="120" t="s">
        <v>51</v>
      </c>
      <c r="D635" s="120" t="s">
        <v>489</v>
      </c>
      <c r="E635" s="121">
        <v>1971</v>
      </c>
      <c r="F635" s="121">
        <v>2013</v>
      </c>
      <c r="G635" s="121" t="s">
        <v>43</v>
      </c>
      <c r="H635" s="121">
        <v>4</v>
      </c>
      <c r="I635" s="121">
        <v>4</v>
      </c>
      <c r="J635" s="107">
        <v>3003.8</v>
      </c>
      <c r="K635" s="107">
        <v>2693.7</v>
      </c>
      <c r="L635" s="107">
        <v>0</v>
      </c>
      <c r="M635" s="122">
        <v>120</v>
      </c>
      <c r="N635" s="123">
        <f t="shared" ref="N635:N645" si="223">SUM(O635:T635)</f>
        <v>9199974.4340940006</v>
      </c>
      <c r="O635" s="107"/>
      <c r="P635" s="108"/>
      <c r="Q635" s="108"/>
      <c r="R635" s="108">
        <f>+AQ635+AR635</f>
        <v>495408.60210599989</v>
      </c>
      <c r="S635" s="108">
        <f>+'Приложение №2'!E635-'Приложение №1'!R635</f>
        <v>8704565.8319880012</v>
      </c>
      <c r="T635" s="108">
        <v>0</v>
      </c>
      <c r="U635" s="108">
        <f t="shared" si="213"/>
        <v>3415.3671285198802</v>
      </c>
      <c r="V635" s="108">
        <v>1321.2830200640001</v>
      </c>
      <c r="W635" s="135">
        <v>2024</v>
      </c>
      <c r="X635" s="28" t="e">
        <f>+#REF!-'[1]Приложение №1'!$P1181</f>
        <v>#REF!</v>
      </c>
      <c r="Z635" s="30">
        <f>SUM(AA635:AO635)</f>
        <v>21441082.737894002</v>
      </c>
      <c r="AA635" s="26">
        <v>0</v>
      </c>
      <c r="AB635" s="26">
        <v>2296919.6304310197</v>
      </c>
      <c r="AC635" s="26">
        <v>2399769.9437850602</v>
      </c>
      <c r="AD635" s="26">
        <v>0</v>
      </c>
      <c r="AE635" s="26">
        <v>1020388.92</v>
      </c>
      <c r="AF635" s="26"/>
      <c r="AG635" s="26">
        <v>247344.72404292002</v>
      </c>
      <c r="AH635" s="26">
        <v>0</v>
      </c>
      <c r="AI635" s="26">
        <v>0</v>
      </c>
      <c r="AJ635" s="26">
        <v>0</v>
      </c>
      <c r="AK635" s="26">
        <v>6118299.9556223992</v>
      </c>
      <c r="AL635" s="26">
        <v>6599302.6705422606</v>
      </c>
      <c r="AM635" s="26">
        <v>2162864.8599</v>
      </c>
      <c r="AN635" s="31">
        <v>205857.47699999998</v>
      </c>
      <c r="AO635" s="32">
        <v>390334.55657033995</v>
      </c>
      <c r="AP635" s="77">
        <f>+N635-'Приложение №2'!E635</f>
        <v>0</v>
      </c>
      <c r="AQ635" s="28">
        <f>1245150.45-R333</f>
        <v>220651.20210599992</v>
      </c>
      <c r="AR635" s="1">
        <f t="shared" ref="AR635:AR645" si="224">+(K635*10+L635*20)*12*0.85</f>
        <v>274757.39999999997</v>
      </c>
      <c r="AS635" s="1">
        <f>+(K635*10+L635*20)*12*30-S333</f>
        <v>9697320</v>
      </c>
      <c r="AT635" s="28">
        <f t="shared" si="215"/>
        <v>-992754.16801199876</v>
      </c>
      <c r="AU635" s="28">
        <f>+P635-'[6]Приложение №1'!$P604</f>
        <v>0</v>
      </c>
      <c r="AV635" s="28">
        <f>+Q635-'[6]Приложение №1'!$Q604</f>
        <v>0</v>
      </c>
      <c r="AW635" s="28">
        <f>+R635-'[6]Приложение №1'!$R604</f>
        <v>0</v>
      </c>
      <c r="AX635" s="28">
        <f>+S635-'[6]Приложение №1'!$S604</f>
        <v>0</v>
      </c>
      <c r="AY635" s="28">
        <f>+T635-'[6]Приложение №1'!$T604</f>
        <v>0</v>
      </c>
    </row>
    <row r="636" spans="1:51" s="34" customFormat="1" x14ac:dyDescent="0.25">
      <c r="A636" s="139">
        <f t="shared" si="218"/>
        <v>617</v>
      </c>
      <c r="B636" s="140">
        <f t="shared" si="219"/>
        <v>155</v>
      </c>
      <c r="C636" s="120" t="s">
        <v>92</v>
      </c>
      <c r="D636" s="120" t="s">
        <v>546</v>
      </c>
      <c r="E636" s="121" t="s">
        <v>112</v>
      </c>
      <c r="F636" s="121"/>
      <c r="G636" s="121" t="s">
        <v>43</v>
      </c>
      <c r="H636" s="121" t="s">
        <v>101</v>
      </c>
      <c r="I636" s="121" t="s">
        <v>97</v>
      </c>
      <c r="J636" s="107">
        <v>3411.7</v>
      </c>
      <c r="K636" s="107">
        <v>2190.6999999999998</v>
      </c>
      <c r="L636" s="107">
        <v>1221</v>
      </c>
      <c r="M636" s="122">
        <v>86</v>
      </c>
      <c r="N636" s="123">
        <f t="shared" si="223"/>
        <v>38715794.560827836</v>
      </c>
      <c r="O636" s="107">
        <v>0</v>
      </c>
      <c r="P636" s="108">
        <v>3590029.1775467205</v>
      </c>
      <c r="Q636" s="108">
        <v>0</v>
      </c>
      <c r="R636" s="108">
        <f>+AQ636+AR636</f>
        <v>2823396.44</v>
      </c>
      <c r="S636" s="108">
        <f>+AS636</f>
        <v>16677720</v>
      </c>
      <c r="T636" s="108">
        <f>+'Приложение №2'!E636-'Приложение №1'!P636-'Приложение №1'!R636-'Приложение №1'!S636</f>
        <v>15624648.94328111</v>
      </c>
      <c r="U636" s="108">
        <f t="shared" si="213"/>
        <v>17672.796165987053</v>
      </c>
      <c r="V636" s="108">
        <v>1322.2830200640001</v>
      </c>
      <c r="W636" s="135">
        <v>2024</v>
      </c>
      <c r="X636" s="34">
        <v>1858783.44</v>
      </c>
      <c r="Y636" s="34">
        <f>+(K636*9.1+L636*18.19)*12</f>
        <v>505744.32</v>
      </c>
      <c r="AA636" s="35">
        <f>+N636-'[5]Приложение № 2'!E570</f>
        <v>-12569920.609172173</v>
      </c>
      <c r="AD636" s="35">
        <f>+N636-'[5]Приложение № 2'!E570</f>
        <v>-12569920.609172173</v>
      </c>
      <c r="AP636" s="77">
        <f>+N636-'Приложение №2'!E636</f>
        <v>0</v>
      </c>
      <c r="AQ636" s="34">
        <v>2350861.04</v>
      </c>
      <c r="AR636" s="1">
        <f t="shared" si="224"/>
        <v>472535.39999999997</v>
      </c>
      <c r="AS636" s="1">
        <f t="shared" ref="AS636:AS642" si="225">+(K636*10+L636*20)*12*30</f>
        <v>16677720</v>
      </c>
      <c r="AT636" s="28">
        <f t="shared" si="215"/>
        <v>0</v>
      </c>
      <c r="AU636" s="28">
        <f>+P636-'[6]Приложение №1'!$P605</f>
        <v>0</v>
      </c>
      <c r="AV636" s="28">
        <f>+Q636-'[6]Приложение №1'!$Q605</f>
        <v>0</v>
      </c>
      <c r="AW636" s="28">
        <f>+R636-'[6]Приложение №1'!$R605</f>
        <v>0</v>
      </c>
      <c r="AX636" s="28">
        <f>+S636-'[6]Приложение №1'!$S605</f>
        <v>0</v>
      </c>
      <c r="AY636" s="28">
        <f>+T636-'[6]Приложение №1'!$T605</f>
        <v>13913725.610640951</v>
      </c>
    </row>
    <row r="637" spans="1:51" s="34" customFormat="1" x14ac:dyDescent="0.25">
      <c r="A637" s="139">
        <f t="shared" si="218"/>
        <v>618</v>
      </c>
      <c r="B637" s="140">
        <f t="shared" si="219"/>
        <v>156</v>
      </c>
      <c r="C637" s="120" t="s">
        <v>92</v>
      </c>
      <c r="D637" s="120" t="s">
        <v>547</v>
      </c>
      <c r="E637" s="121" t="s">
        <v>113</v>
      </c>
      <c r="F637" s="121"/>
      <c r="G637" s="121" t="s">
        <v>43</v>
      </c>
      <c r="H637" s="121" t="s">
        <v>101</v>
      </c>
      <c r="I637" s="121" t="s">
        <v>96</v>
      </c>
      <c r="J637" s="107">
        <v>5051.1899999999996</v>
      </c>
      <c r="K637" s="107">
        <v>4630.8</v>
      </c>
      <c r="L637" s="107">
        <v>0</v>
      </c>
      <c r="M637" s="122">
        <v>233</v>
      </c>
      <c r="N637" s="123">
        <f t="shared" si="223"/>
        <v>74923651.909586757</v>
      </c>
      <c r="O637" s="107">
        <v>0</v>
      </c>
      <c r="P637" s="108">
        <v>11125815.399917353</v>
      </c>
      <c r="Q637" s="108">
        <v>0</v>
      </c>
      <c r="R637" s="108">
        <f>+AQ637+AR637</f>
        <v>2754412.5300000003</v>
      </c>
      <c r="S637" s="108">
        <f>+AS637</f>
        <v>16670880</v>
      </c>
      <c r="T637" s="108">
        <f>+'Приложение №2'!E637-'Приложение №1'!P637-'Приложение №1'!R637-'Приложение №1'!S637</f>
        <v>44372543.979669407</v>
      </c>
      <c r="U637" s="108">
        <f t="shared" si="213"/>
        <v>16179.418655434645</v>
      </c>
      <c r="V637" s="108">
        <v>1323.2830200640001</v>
      </c>
      <c r="W637" s="135">
        <v>2024</v>
      </c>
      <c r="X637" s="34">
        <v>1795085.95</v>
      </c>
      <c r="Y637" s="34">
        <f>+(K637*9.1+L637*18.19)*12</f>
        <v>505683.36</v>
      </c>
      <c r="AA637" s="35">
        <f>+N637-'[5]Приложение № 2'!E571</f>
        <v>61830050.369586758</v>
      </c>
      <c r="AD637" s="35">
        <f>+N637-'[5]Приложение № 2'!E571</f>
        <v>61830050.369586758</v>
      </c>
      <c r="AP637" s="77">
        <f>+N637-'Приложение №2'!E637</f>
        <v>0</v>
      </c>
      <c r="AQ637" s="34">
        <v>2282070.9300000002</v>
      </c>
      <c r="AR637" s="1">
        <f t="shared" si="224"/>
        <v>472341.6</v>
      </c>
      <c r="AS637" s="1">
        <f t="shared" si="225"/>
        <v>16670880</v>
      </c>
      <c r="AT637" s="28">
        <f t="shared" si="215"/>
        <v>0</v>
      </c>
      <c r="AU637" s="28">
        <f>+P637-'[6]Приложение №1'!$P606</f>
        <v>0</v>
      </c>
      <c r="AV637" s="28">
        <f>+Q637-'[6]Приложение №1'!$Q606</f>
        <v>0</v>
      </c>
      <c r="AW637" s="28">
        <f>+R637-'[6]Приложение №1'!$R606</f>
        <v>0</v>
      </c>
      <c r="AX637" s="28">
        <f>+S637-'[6]Приложение №1'!$S606</f>
        <v>0</v>
      </c>
      <c r="AY637" s="28">
        <f>+T637-'[6]Приложение №1'!$T606</f>
        <v>0</v>
      </c>
    </row>
    <row r="638" spans="1:51" x14ac:dyDescent="0.25">
      <c r="A638" s="139">
        <f t="shared" si="218"/>
        <v>619</v>
      </c>
      <c r="B638" s="140">
        <f t="shared" si="219"/>
        <v>157</v>
      </c>
      <c r="C638" s="120" t="s">
        <v>51</v>
      </c>
      <c r="D638" s="120" t="s">
        <v>439</v>
      </c>
      <c r="E638" s="121">
        <v>1966</v>
      </c>
      <c r="F638" s="121">
        <v>2013</v>
      </c>
      <c r="G638" s="121" t="s">
        <v>43</v>
      </c>
      <c r="H638" s="121">
        <v>4</v>
      </c>
      <c r="I638" s="121">
        <v>6</v>
      </c>
      <c r="J638" s="107">
        <v>2829.5</v>
      </c>
      <c r="K638" s="107">
        <v>2537.8000000000002</v>
      </c>
      <c r="L638" s="107">
        <v>230.6</v>
      </c>
      <c r="M638" s="122">
        <v>144</v>
      </c>
      <c r="N638" s="123">
        <f t="shared" si="223"/>
        <v>28692544.751838498</v>
      </c>
      <c r="O638" s="107"/>
      <c r="P638" s="108">
        <v>942478.5918385</v>
      </c>
      <c r="Q638" s="108"/>
      <c r="R638" s="108">
        <f>+AQ638+AR638</f>
        <v>1953666.16</v>
      </c>
      <c r="S638" s="108">
        <f>+AS638</f>
        <v>10796400</v>
      </c>
      <c r="T638" s="108">
        <f>+'Приложение №2'!E638-'Приложение №1'!P638-'Приложение №1'!R638-'Приложение №1'!S638</f>
        <v>14999999.999999996</v>
      </c>
      <c r="U638" s="108">
        <f t="shared" si="213"/>
        <v>11306.070120513237</v>
      </c>
      <c r="V638" s="108">
        <v>1324.2830200640001</v>
      </c>
      <c r="W638" s="135">
        <v>2024</v>
      </c>
      <c r="X638" s="28" t="e">
        <f>+#REF!-'[1]Приложение №1'!$P1905</f>
        <v>#REF!</v>
      </c>
      <c r="Z638" s="30">
        <f>SUM(AA638:AO638)</f>
        <v>15087934.029999999</v>
      </c>
      <c r="AA638" s="26">
        <v>6065034.6402882598</v>
      </c>
      <c r="AB638" s="26">
        <v>2161221.1824524999</v>
      </c>
      <c r="AC638" s="26">
        <v>2257995.2503873804</v>
      </c>
      <c r="AD638" s="26">
        <v>1413647.7960217199</v>
      </c>
      <c r="AE638" s="26">
        <v>864921.32273358025</v>
      </c>
      <c r="AF638" s="26"/>
      <c r="AG638" s="26">
        <v>232731.98563608</v>
      </c>
      <c r="AH638" s="26">
        <v>0</v>
      </c>
      <c r="AI638" s="26">
        <v>0</v>
      </c>
      <c r="AJ638" s="26">
        <v>0</v>
      </c>
      <c r="AK638" s="26">
        <v>0</v>
      </c>
      <c r="AL638" s="26">
        <v>0</v>
      </c>
      <c r="AM638" s="26">
        <v>1657316.1065</v>
      </c>
      <c r="AN638" s="31">
        <v>150879.34030000001</v>
      </c>
      <c r="AO638" s="32">
        <v>284186.40568048006</v>
      </c>
      <c r="AP638" s="77">
        <f>+N638-'Приложение №2'!E638</f>
        <v>0</v>
      </c>
      <c r="AQ638" s="23">
        <v>1647768.16</v>
      </c>
      <c r="AR638" s="1">
        <f t="shared" si="224"/>
        <v>305898</v>
      </c>
      <c r="AS638" s="1">
        <f t="shared" si="225"/>
        <v>10796400</v>
      </c>
      <c r="AT638" s="28">
        <f t="shared" si="215"/>
        <v>0</v>
      </c>
      <c r="AU638" s="28"/>
      <c r="AV638" s="28"/>
      <c r="AW638" s="28"/>
      <c r="AX638" s="28"/>
      <c r="AY638" s="28"/>
    </row>
    <row r="639" spans="1:51" s="34" customFormat="1" x14ac:dyDescent="0.25">
      <c r="A639" s="139">
        <f t="shared" si="218"/>
        <v>620</v>
      </c>
      <c r="B639" s="140">
        <f t="shared" si="219"/>
        <v>158</v>
      </c>
      <c r="C639" s="120" t="s">
        <v>92</v>
      </c>
      <c r="D639" s="120" t="s">
        <v>548</v>
      </c>
      <c r="E639" s="121" t="s">
        <v>129</v>
      </c>
      <c r="F639" s="121"/>
      <c r="G639" s="121" t="s">
        <v>43</v>
      </c>
      <c r="H639" s="121" t="s">
        <v>104</v>
      </c>
      <c r="I639" s="121" t="s">
        <v>101</v>
      </c>
      <c r="J639" s="107">
        <v>4290.1000000000004</v>
      </c>
      <c r="K639" s="107">
        <v>4045.8</v>
      </c>
      <c r="L639" s="107">
        <v>0</v>
      </c>
      <c r="M639" s="122">
        <v>160</v>
      </c>
      <c r="N639" s="123">
        <f t="shared" si="223"/>
        <v>2039953.34</v>
      </c>
      <c r="O639" s="107">
        <v>0</v>
      </c>
      <c r="P639" s="108"/>
      <c r="Q639" s="108">
        <v>0</v>
      </c>
      <c r="R639" s="108">
        <f>+'Приложение №2'!E639</f>
        <v>2039953.34</v>
      </c>
      <c r="S639" s="108">
        <f>+'Приложение №2'!E639-'Приложение №1'!R639</f>
        <v>0</v>
      </c>
      <c r="T639" s="108">
        <v>0</v>
      </c>
      <c r="U639" s="108">
        <f t="shared" si="213"/>
        <v>504.21507242078206</v>
      </c>
      <c r="V639" s="108">
        <v>1325.2830200640001</v>
      </c>
      <c r="W639" s="135">
        <v>2024</v>
      </c>
      <c r="X639" s="34">
        <v>1474610.12</v>
      </c>
      <c r="Y639" s="34">
        <f>+(K639*9.1+L639*18.19)*12</f>
        <v>441801.36</v>
      </c>
      <c r="AA639" s="35">
        <f>+N639-'[5]Приложение № 2'!E572</f>
        <v>-9395945.0900000017</v>
      </c>
      <c r="AD639" s="35">
        <f>+N639-'[5]Приложение № 2'!E572</f>
        <v>-9395945.0900000017</v>
      </c>
      <c r="AP639" s="77">
        <f>+N639-'Приложение №2'!E639</f>
        <v>0</v>
      </c>
      <c r="AQ639" s="34">
        <v>1877694.37</v>
      </c>
      <c r="AR639" s="1">
        <f t="shared" si="224"/>
        <v>412671.6</v>
      </c>
      <c r="AS639" s="1">
        <f t="shared" si="225"/>
        <v>14564880</v>
      </c>
      <c r="AT639" s="28">
        <f t="shared" si="215"/>
        <v>-14564880</v>
      </c>
      <c r="AU639" s="28">
        <f>+P639-'[6]Приложение №1'!$P607</f>
        <v>0</v>
      </c>
      <c r="AV639" s="28">
        <f>+Q639-'[6]Приложение №1'!$Q607</f>
        <v>0</v>
      </c>
      <c r="AW639" s="28">
        <f>+R639-'[6]Приложение №1'!$R607</f>
        <v>0</v>
      </c>
      <c r="AX639" s="28">
        <f>+S639-'[6]Приложение №1'!$S607</f>
        <v>0</v>
      </c>
      <c r="AY639" s="28">
        <f>+T639-'[6]Приложение №1'!$T607</f>
        <v>0</v>
      </c>
    </row>
    <row r="640" spans="1:51" s="34" customFormat="1" x14ac:dyDescent="0.25">
      <c r="A640" s="139">
        <f t="shared" si="218"/>
        <v>621</v>
      </c>
      <c r="B640" s="140">
        <f t="shared" si="219"/>
        <v>159</v>
      </c>
      <c r="C640" s="120" t="s">
        <v>92</v>
      </c>
      <c r="D640" s="120" t="s">
        <v>549</v>
      </c>
      <c r="E640" s="121" t="s">
        <v>130</v>
      </c>
      <c r="F640" s="121"/>
      <c r="G640" s="121" t="s">
        <v>43</v>
      </c>
      <c r="H640" s="121" t="s">
        <v>104</v>
      </c>
      <c r="I640" s="121" t="s">
        <v>101</v>
      </c>
      <c r="J640" s="107">
        <v>3196.5</v>
      </c>
      <c r="K640" s="107">
        <v>2451.1</v>
      </c>
      <c r="L640" s="107">
        <v>745</v>
      </c>
      <c r="M640" s="122">
        <v>156</v>
      </c>
      <c r="N640" s="123">
        <f t="shared" si="223"/>
        <v>33755644.016001284</v>
      </c>
      <c r="O640" s="107">
        <v>0</v>
      </c>
      <c r="P640" s="108">
        <v>4540950.7992002573</v>
      </c>
      <c r="Q640" s="108">
        <v>0</v>
      </c>
      <c r="R640" s="108">
        <f t="shared" ref="R640:R644" si="226">+AQ640+AR640</f>
        <v>2332635.02</v>
      </c>
      <c r="S640" s="108">
        <f>+AS640</f>
        <v>14187960</v>
      </c>
      <c r="T640" s="108">
        <f>+'Приложение №2'!E640-'Приложение №1'!P640-'Приложение №1'!R640-'Приложение №1'!S640</f>
        <v>12694098.196801025</v>
      </c>
      <c r="U640" s="108">
        <f t="shared" si="213"/>
        <v>13771.63070295022</v>
      </c>
      <c r="V640" s="108">
        <v>1326.2830200640001</v>
      </c>
      <c r="W640" s="135">
        <v>2024</v>
      </c>
      <c r="X640" s="34">
        <v>1575459.5</v>
      </c>
      <c r="Y640" s="34">
        <f>+(K640*9.1+L640*18.19)*12</f>
        <v>430278.72</v>
      </c>
      <c r="AA640" s="35">
        <f>+N640-'[5]Приложение № 2'!E573</f>
        <v>19390204.016001284</v>
      </c>
      <c r="AD640" s="35">
        <f>+N640-'[5]Приложение № 2'!E573</f>
        <v>19390204.016001284</v>
      </c>
      <c r="AP640" s="77">
        <f>+N640-'Приложение №2'!E640</f>
        <v>0</v>
      </c>
      <c r="AQ640" s="34">
        <v>1930642.82</v>
      </c>
      <c r="AR640" s="1">
        <f t="shared" si="224"/>
        <v>401992.2</v>
      </c>
      <c r="AS640" s="1">
        <f t="shared" si="225"/>
        <v>14187960</v>
      </c>
      <c r="AT640" s="28">
        <f t="shared" si="215"/>
        <v>0</v>
      </c>
      <c r="AU640" s="28">
        <f>+P640-'[6]Приложение №1'!$P608</f>
        <v>0</v>
      </c>
      <c r="AV640" s="28">
        <f>+Q640-'[6]Приложение №1'!$Q608</f>
        <v>0</v>
      </c>
      <c r="AW640" s="28">
        <f>+R640-'[6]Приложение №1'!$R608</f>
        <v>0</v>
      </c>
      <c r="AX640" s="28">
        <f>+S640-'[6]Приложение №1'!$S608</f>
        <v>0</v>
      </c>
      <c r="AY640" s="28">
        <f>+T640-'[6]Приложение №1'!$T608</f>
        <v>0</v>
      </c>
    </row>
    <row r="641" spans="1:51" s="34" customFormat="1" x14ac:dyDescent="0.25">
      <c r="A641" s="139">
        <f t="shared" si="218"/>
        <v>622</v>
      </c>
      <c r="B641" s="140">
        <f t="shared" si="219"/>
        <v>160</v>
      </c>
      <c r="C641" s="120" t="s">
        <v>92</v>
      </c>
      <c r="D641" s="120" t="s">
        <v>550</v>
      </c>
      <c r="E641" s="121" t="s">
        <v>121</v>
      </c>
      <c r="F641" s="121"/>
      <c r="G641" s="121" t="s">
        <v>83</v>
      </c>
      <c r="H641" s="121" t="s">
        <v>101</v>
      </c>
      <c r="I641" s="121" t="s">
        <v>101</v>
      </c>
      <c r="J641" s="107">
        <v>3950.89</v>
      </c>
      <c r="K641" s="107">
        <v>3454.6</v>
      </c>
      <c r="L641" s="107">
        <v>0</v>
      </c>
      <c r="M641" s="122">
        <v>153</v>
      </c>
      <c r="N641" s="123">
        <f t="shared" si="223"/>
        <v>58958023.002210215</v>
      </c>
      <c r="O641" s="107">
        <v>0</v>
      </c>
      <c r="P641" s="108">
        <v>8914366.6864420418</v>
      </c>
      <c r="Q641" s="108">
        <v>0</v>
      </c>
      <c r="R641" s="108">
        <f t="shared" si="226"/>
        <v>1944483.79</v>
      </c>
      <c r="S641" s="108">
        <f>+AS641</f>
        <v>12436560</v>
      </c>
      <c r="T641" s="108">
        <f>+'Приложение №2'!E641-'Приложение №1'!P641-'Приложение №1'!R641-'Приложение №1'!S641</f>
        <v>35662612.525768168</v>
      </c>
      <c r="U641" s="108">
        <f t="shared" si="213"/>
        <v>17066.526660745156</v>
      </c>
      <c r="V641" s="108">
        <v>1327.2830200640001</v>
      </c>
      <c r="W641" s="135">
        <v>2024</v>
      </c>
      <c r="X641" s="34">
        <v>1263644.1499999999</v>
      </c>
      <c r="Y641" s="34">
        <f>+(K641*9.1+L641*18.19)*12</f>
        <v>377242.31999999995</v>
      </c>
      <c r="AA641" s="35">
        <f>+N641-'[5]Приложение № 2'!E574</f>
        <v>41914735.462210216</v>
      </c>
      <c r="AD641" s="35">
        <f>+N641-'[5]Приложение № 2'!E574</f>
        <v>41914735.462210216</v>
      </c>
      <c r="AP641" s="77">
        <f>+N641-'Приложение №2'!E641</f>
        <v>0</v>
      </c>
      <c r="AQ641" s="34">
        <v>1592114.59</v>
      </c>
      <c r="AR641" s="1">
        <f t="shared" si="224"/>
        <v>352369.2</v>
      </c>
      <c r="AS641" s="1">
        <f t="shared" si="225"/>
        <v>12436560</v>
      </c>
      <c r="AT641" s="28">
        <f t="shared" si="215"/>
        <v>0</v>
      </c>
      <c r="AU641" s="28">
        <f>+P641-'[6]Приложение №1'!$P609</f>
        <v>0</v>
      </c>
      <c r="AV641" s="28">
        <f>+Q641-'[6]Приложение №1'!$Q609</f>
        <v>0</v>
      </c>
      <c r="AW641" s="28">
        <f>+R641-'[6]Приложение №1'!$R609</f>
        <v>0</v>
      </c>
      <c r="AX641" s="28">
        <f>+S641-'[6]Приложение №1'!$S609</f>
        <v>0</v>
      </c>
      <c r="AY641" s="28">
        <f>+T641-'[6]Приложение №1'!$T609</f>
        <v>0</v>
      </c>
    </row>
    <row r="642" spans="1:51" s="34" customFormat="1" x14ac:dyDescent="0.25">
      <c r="A642" s="139">
        <f t="shared" si="218"/>
        <v>623</v>
      </c>
      <c r="B642" s="140">
        <f t="shared" si="219"/>
        <v>161</v>
      </c>
      <c r="C642" s="120" t="s">
        <v>92</v>
      </c>
      <c r="D642" s="120" t="s">
        <v>551</v>
      </c>
      <c r="E642" s="121" t="s">
        <v>162</v>
      </c>
      <c r="F642" s="121"/>
      <c r="G642" s="121" t="s">
        <v>83</v>
      </c>
      <c r="H642" s="121" t="s">
        <v>101</v>
      </c>
      <c r="I642" s="121" t="s">
        <v>101</v>
      </c>
      <c r="J642" s="107">
        <v>3906</v>
      </c>
      <c r="K642" s="107">
        <v>3421.4</v>
      </c>
      <c r="L642" s="107">
        <v>0</v>
      </c>
      <c r="M642" s="122">
        <v>129</v>
      </c>
      <c r="N642" s="123">
        <f t="shared" si="223"/>
        <v>8914451.7878207974</v>
      </c>
      <c r="O642" s="107"/>
      <c r="P642" s="108">
        <f>+'Приложение №2'!E642-'Приложение №1'!R642-S642</f>
        <v>0</v>
      </c>
      <c r="Q642" s="108"/>
      <c r="R642" s="108">
        <f t="shared" si="226"/>
        <v>2248381.31</v>
      </c>
      <c r="S642" s="108">
        <f>+'Приложение №2'!E642-'Приложение №1'!R642</f>
        <v>6666070.4778207969</v>
      </c>
      <c r="T642" s="108"/>
      <c r="U642" s="108">
        <f t="shared" si="213"/>
        <v>2605.4982719999994</v>
      </c>
      <c r="V642" s="108">
        <v>1328.2830200640001</v>
      </c>
      <c r="W642" s="135">
        <v>2024</v>
      </c>
      <c r="AA642" s="35"/>
      <c r="AD642" s="35"/>
      <c r="AP642" s="77">
        <f>+N642-'Приложение №2'!E642</f>
        <v>0</v>
      </c>
      <c r="AQ642" s="23">
        <v>1899398.51</v>
      </c>
      <c r="AR642" s="1">
        <f t="shared" si="224"/>
        <v>348982.8</v>
      </c>
      <c r="AS642" s="1">
        <f t="shared" si="225"/>
        <v>12317040</v>
      </c>
      <c r="AT642" s="28">
        <f t="shared" si="215"/>
        <v>-5650969.5221792031</v>
      </c>
      <c r="AU642" s="28"/>
      <c r="AV642" s="28"/>
      <c r="AW642" s="28"/>
      <c r="AX642" s="28"/>
      <c r="AY642" s="28"/>
    </row>
    <row r="643" spans="1:51" x14ac:dyDescent="0.25">
      <c r="A643" s="139">
        <f t="shared" si="218"/>
        <v>624</v>
      </c>
      <c r="B643" s="140">
        <f t="shared" si="219"/>
        <v>162</v>
      </c>
      <c r="C643" s="120" t="s">
        <v>51</v>
      </c>
      <c r="D643" s="120" t="s">
        <v>492</v>
      </c>
      <c r="E643" s="121">
        <v>1968</v>
      </c>
      <c r="F643" s="121">
        <v>2013</v>
      </c>
      <c r="G643" s="121" t="s">
        <v>43</v>
      </c>
      <c r="H643" s="121">
        <v>5</v>
      </c>
      <c r="I643" s="121">
        <v>5</v>
      </c>
      <c r="J643" s="107">
        <v>3261.1</v>
      </c>
      <c r="K643" s="107">
        <v>2512.5</v>
      </c>
      <c r="L643" s="107">
        <v>664.8</v>
      </c>
      <c r="M643" s="122">
        <v>128</v>
      </c>
      <c r="N643" s="123">
        <f t="shared" si="223"/>
        <v>2304169.0619060001</v>
      </c>
      <c r="O643" s="107"/>
      <c r="P643" s="108"/>
      <c r="Q643" s="108"/>
      <c r="R643" s="108">
        <f t="shared" si="226"/>
        <v>165503.35497199994</v>
      </c>
      <c r="S643" s="108">
        <f>+'Приложение №2'!E643-'Приложение №1'!R643</f>
        <v>2138665.7069340004</v>
      </c>
      <c r="T643" s="108">
        <v>0</v>
      </c>
      <c r="U643" s="108">
        <f t="shared" si="213"/>
        <v>917.08221369393038</v>
      </c>
      <c r="V643" s="108">
        <v>1329.2830200640001</v>
      </c>
      <c r="W643" s="135">
        <v>2024</v>
      </c>
      <c r="X643" s="28" t="e">
        <f>+#REF!-'[1]Приложение №1'!$P948</f>
        <v>#REF!</v>
      </c>
      <c r="Z643" s="30">
        <f>SUM(AA643:AO643)</f>
        <v>30275329.636437476</v>
      </c>
      <c r="AA643" s="26">
        <v>6028027.9685480399</v>
      </c>
      <c r="AB643" s="26">
        <v>0</v>
      </c>
      <c r="AC643" s="26">
        <v>2244217.7771235602</v>
      </c>
      <c r="AD643" s="26">
        <v>0</v>
      </c>
      <c r="AE643" s="26">
        <v>1240916.79</v>
      </c>
      <c r="AF643" s="26"/>
      <c r="AG643" s="26">
        <v>0</v>
      </c>
      <c r="AH643" s="26">
        <v>0</v>
      </c>
      <c r="AI643" s="26">
        <v>11020152.319356598</v>
      </c>
      <c r="AJ643" s="26">
        <v>0</v>
      </c>
      <c r="AK643" s="26">
        <v>5721714.1000613989</v>
      </c>
      <c r="AL643" s="26">
        <v>0</v>
      </c>
      <c r="AM643" s="26">
        <v>3056047.9632999999</v>
      </c>
      <c r="AN643" s="31">
        <v>328671.8125</v>
      </c>
      <c r="AO643" s="32">
        <v>635580.90554787999</v>
      </c>
      <c r="AP643" s="77">
        <f>+N643-'Приложение №2'!E643</f>
        <v>0</v>
      </c>
      <c r="AQ643" s="28">
        <f>1018647.82-R337</f>
        <v>-226390.84502800007</v>
      </c>
      <c r="AR643" s="1">
        <f t="shared" si="224"/>
        <v>391894.2</v>
      </c>
      <c r="AS643" s="1">
        <f>+(K643*10+L643*20)*12*30-S337</f>
        <v>13831560</v>
      </c>
      <c r="AT643" s="28">
        <f t="shared" si="215"/>
        <v>-11692894.293065999</v>
      </c>
      <c r="AU643" s="28">
        <f>+P643-'[6]Приложение №1'!$P610</f>
        <v>0</v>
      </c>
      <c r="AV643" s="28">
        <f>+Q643-'[6]Приложение №1'!$Q610</f>
        <v>0</v>
      </c>
      <c r="AW643" s="28">
        <f>+R643-'[6]Приложение №1'!$R610</f>
        <v>0</v>
      </c>
      <c r="AX643" s="28">
        <f>+S643-'[6]Приложение №1'!$S610</f>
        <v>0</v>
      </c>
      <c r="AY643" s="28">
        <f>+T643-'[6]Приложение №1'!$T610</f>
        <v>0</v>
      </c>
    </row>
    <row r="644" spans="1:51" s="34" customFormat="1" x14ac:dyDescent="0.25">
      <c r="A644" s="139">
        <f t="shared" si="218"/>
        <v>625</v>
      </c>
      <c r="B644" s="140">
        <f t="shared" si="219"/>
        <v>163</v>
      </c>
      <c r="C644" s="120" t="s">
        <v>92</v>
      </c>
      <c r="D644" s="120" t="s">
        <v>552</v>
      </c>
      <c r="E644" s="121" t="s">
        <v>121</v>
      </c>
      <c r="F644" s="121"/>
      <c r="G644" s="121" t="s">
        <v>83</v>
      </c>
      <c r="H644" s="121" t="s">
        <v>101</v>
      </c>
      <c r="I644" s="121" t="s">
        <v>105</v>
      </c>
      <c r="J644" s="107">
        <v>5751.1</v>
      </c>
      <c r="K644" s="107">
        <v>4971.6000000000004</v>
      </c>
      <c r="L644" s="107">
        <v>0</v>
      </c>
      <c r="M644" s="122">
        <v>221</v>
      </c>
      <c r="N644" s="123">
        <f t="shared" si="223"/>
        <v>80216609.443918288</v>
      </c>
      <c r="O644" s="107">
        <v>0</v>
      </c>
      <c r="P644" s="108">
        <v>6666221.4034400824</v>
      </c>
      <c r="Q644" s="108">
        <v>0</v>
      </c>
      <c r="R644" s="108">
        <f t="shared" si="226"/>
        <v>2807456.47</v>
      </c>
      <c r="S644" s="108">
        <f>+AS644</f>
        <v>17897760</v>
      </c>
      <c r="T644" s="108">
        <f>+'Приложение №2'!E644-'Приложение №1'!P644-'Приложение №1'!R644-'Приложение №1'!S644</f>
        <v>52845171.570478201</v>
      </c>
      <c r="U644" s="108">
        <f t="shared" si="213"/>
        <v>16134.968509920001</v>
      </c>
      <c r="V644" s="108">
        <v>1330.2830200640001</v>
      </c>
      <c r="W644" s="135">
        <v>2024</v>
      </c>
      <c r="X644" s="34">
        <v>1827431.02</v>
      </c>
      <c r="Y644" s="34">
        <f>+(K644*9.1+L644*18.19)*12</f>
        <v>542898.72000000009</v>
      </c>
      <c r="AA644" s="35">
        <f>+N644-'[5]Приложение № 2'!E576</f>
        <v>35070073.220851406</v>
      </c>
      <c r="AD644" s="35">
        <f>+N644-'[5]Приложение № 2'!E576</f>
        <v>35070073.220851406</v>
      </c>
      <c r="AP644" s="77">
        <f>+N644-'Приложение №2'!E644</f>
        <v>0</v>
      </c>
      <c r="AQ644" s="34">
        <v>2300353.27</v>
      </c>
      <c r="AR644" s="1">
        <f t="shared" si="224"/>
        <v>507103.2</v>
      </c>
      <c r="AS644" s="1">
        <f>+(K644*10+L644*20)*12*30</f>
        <v>17897760</v>
      </c>
      <c r="AT644" s="28">
        <f t="shared" si="215"/>
        <v>0</v>
      </c>
      <c r="AU644" s="28">
        <f>+P644-'[6]Приложение №1'!$P611</f>
        <v>0</v>
      </c>
      <c r="AV644" s="28">
        <f>+Q644-'[6]Приложение №1'!$Q611</f>
        <v>0</v>
      </c>
      <c r="AW644" s="28">
        <f>+R644-'[6]Приложение №1'!$R611</f>
        <v>0</v>
      </c>
      <c r="AX644" s="28">
        <f>+S644-'[6]Приложение №1'!$S611</f>
        <v>0</v>
      </c>
      <c r="AY644" s="28">
        <f>+T644-'[6]Приложение №1'!$T611</f>
        <v>32789126.360157952</v>
      </c>
    </row>
    <row r="645" spans="1:51" s="34" customFormat="1" x14ac:dyDescent="0.25">
      <c r="A645" s="139">
        <f t="shared" si="218"/>
        <v>626</v>
      </c>
      <c r="B645" s="140">
        <f t="shared" si="219"/>
        <v>164</v>
      </c>
      <c r="C645" s="120" t="s">
        <v>92</v>
      </c>
      <c r="D645" s="120" t="s">
        <v>442</v>
      </c>
      <c r="E645" s="121" t="s">
        <v>121</v>
      </c>
      <c r="F645" s="121"/>
      <c r="G645" s="121" t="s">
        <v>83</v>
      </c>
      <c r="H645" s="121" t="s">
        <v>101</v>
      </c>
      <c r="I645" s="121" t="s">
        <v>105</v>
      </c>
      <c r="J645" s="107">
        <v>5677.5</v>
      </c>
      <c r="K645" s="107">
        <v>4896.3999999999996</v>
      </c>
      <c r="L645" s="107">
        <v>72</v>
      </c>
      <c r="M645" s="122">
        <v>216</v>
      </c>
      <c r="N645" s="123">
        <f t="shared" si="223"/>
        <v>19051411.108678184</v>
      </c>
      <c r="O645" s="107">
        <v>0</v>
      </c>
      <c r="P645" s="108">
        <v>3114073.3088781</v>
      </c>
      <c r="Q645" s="108">
        <v>0</v>
      </c>
      <c r="R645" s="108">
        <f>+AR645*2</f>
        <v>1028241.6</v>
      </c>
      <c r="S645" s="108">
        <v>0</v>
      </c>
      <c r="T645" s="108">
        <f>+'Приложение №2'!E645-'Приложение №1'!P645-'Приложение №1'!R645-'Приложение №1'!S645</f>
        <v>14909096.199800085</v>
      </c>
      <c r="U645" s="108">
        <f t="shared" si="213"/>
        <v>3890.9017050645753</v>
      </c>
      <c r="V645" s="108">
        <v>1331.2830200640001</v>
      </c>
      <c r="W645" s="135">
        <v>2024</v>
      </c>
      <c r="X645" s="34">
        <v>1825680.39</v>
      </c>
      <c r="Y645" s="34">
        <f>+(K645*9.1+L645*18.19)*12</f>
        <v>550403.04</v>
      </c>
      <c r="AA645" s="35">
        <f>+N645-'[5]Приложение № 2'!E578</f>
        <v>3223796.0528797843</v>
      </c>
      <c r="AD645" s="35">
        <f>+N645-'[5]Приложение № 2'!E578</f>
        <v>3223796.0528797843</v>
      </c>
      <c r="AP645" s="77">
        <f>+N645-'Приложение №2'!E645</f>
        <v>0</v>
      </c>
      <c r="AQ645" s="36">
        <f>2265420.6-R122-R341</f>
        <v>-514120.8</v>
      </c>
      <c r="AR645" s="1">
        <f t="shared" si="224"/>
        <v>514120.8</v>
      </c>
      <c r="AS645" s="1">
        <f>+(K645*10+L645*20)*12*30-S122-S341</f>
        <v>-386131.76</v>
      </c>
      <c r="AT645" s="28">
        <f t="shared" si="215"/>
        <v>386131.76</v>
      </c>
      <c r="AU645" s="28">
        <f>+P645-'[6]Приложение №1'!$P612</f>
        <v>-15000000.000000002</v>
      </c>
      <c r="AV645" s="28">
        <f>+Q645-'[6]Приложение №1'!$Q612</f>
        <v>0</v>
      </c>
      <c r="AW645" s="28">
        <f>+R645-'[6]Приложение №1'!$R612</f>
        <v>1028241.6</v>
      </c>
      <c r="AX645" s="28">
        <f>+S645-'[6]Приложение №1'!$S612</f>
        <v>0</v>
      </c>
      <c r="AY645" s="28">
        <f>+T645-'[6]Приложение №1'!$T612</f>
        <v>14909096.199800085</v>
      </c>
    </row>
    <row r="646" spans="1:51" x14ac:dyDescent="0.25">
      <c r="A646" s="139">
        <f t="shared" si="218"/>
        <v>627</v>
      </c>
      <c r="B646" s="140">
        <f t="shared" si="219"/>
        <v>165</v>
      </c>
      <c r="C646" s="120" t="s">
        <v>142</v>
      </c>
      <c r="D646" s="120" t="s">
        <v>553</v>
      </c>
      <c r="E646" s="121">
        <v>2004</v>
      </c>
      <c r="F646" s="121">
        <v>2005</v>
      </c>
      <c r="G646" s="121" t="s">
        <v>43</v>
      </c>
      <c r="H646" s="121">
        <v>7</v>
      </c>
      <c r="I646" s="121">
        <v>3</v>
      </c>
      <c r="J646" s="107">
        <v>3311.6</v>
      </c>
      <c r="K646" s="107">
        <v>2794.8</v>
      </c>
      <c r="L646" s="107">
        <v>0</v>
      </c>
      <c r="M646" s="122">
        <v>75</v>
      </c>
      <c r="N646" s="123">
        <f>SUM(O646:S646)</f>
        <v>6507525.8595053386</v>
      </c>
      <c r="O646" s="107"/>
      <c r="P646" s="108">
        <v>4793742.1716</v>
      </c>
      <c r="Q646" s="108"/>
      <c r="R646" s="108">
        <f>+AQ646+AR646</f>
        <v>378857.49840000004</v>
      </c>
      <c r="S646" s="142">
        <f>+'Приложение №2'!E646-'Приложение №1'!P646-'Приложение №1'!R646</f>
        <v>1334926.1895053387</v>
      </c>
      <c r="T646" s="111"/>
      <c r="U646" s="108">
        <f t="shared" si="213"/>
        <v>2328.4406252702656</v>
      </c>
      <c r="V646" s="108">
        <v>1332.2830200640001</v>
      </c>
      <c r="W646" s="135">
        <v>2024</v>
      </c>
      <c r="X646" s="28" t="e">
        <f>+#REF!-'[1]Приложение №1'!$P715</f>
        <v>#REF!</v>
      </c>
      <c r="Z646" s="30">
        <f t="shared" ref="Z646:Z677" si="227">SUM(AA646:AO646)</f>
        <v>6068209.5</v>
      </c>
      <c r="AA646" s="26">
        <v>5838134.5613640007</v>
      </c>
      <c r="AB646" s="26">
        <v>0</v>
      </c>
      <c r="AC646" s="26">
        <v>0</v>
      </c>
      <c r="AD646" s="26">
        <v>0</v>
      </c>
      <c r="AE646" s="26">
        <v>0</v>
      </c>
      <c r="AF646" s="26"/>
      <c r="AG646" s="26">
        <v>0</v>
      </c>
      <c r="AH646" s="26">
        <v>0</v>
      </c>
      <c r="AI646" s="26">
        <v>0</v>
      </c>
      <c r="AJ646" s="26">
        <v>0</v>
      </c>
      <c r="AK646" s="26">
        <v>0</v>
      </c>
      <c r="AL646" s="26">
        <v>0</v>
      </c>
      <c r="AM646" s="26">
        <v>99958.34</v>
      </c>
      <c r="AN646" s="26">
        <v>2448.42</v>
      </c>
      <c r="AO646" s="32">
        <v>127668.17863600001</v>
      </c>
      <c r="AP646" s="77">
        <f>+N646-'Приложение №2'!E646</f>
        <v>0</v>
      </c>
      <c r="AR646" s="1">
        <f>+(K646*13.29+L646*22.52)*12*0.85</f>
        <v>378857.49840000004</v>
      </c>
      <c r="AS646" s="1">
        <f>+(K646*13.29+L646*22.52)*12*30</f>
        <v>13371441.120000001</v>
      </c>
      <c r="AT646" s="28">
        <f t="shared" si="215"/>
        <v>-12036514.930494662</v>
      </c>
      <c r="AU646" s="28">
        <f>+P646-'[6]Приложение №1'!$P613</f>
        <v>0</v>
      </c>
      <c r="AV646" s="28">
        <f>+Q646-'[6]Приложение №1'!$Q613</f>
        <v>0</v>
      </c>
      <c r="AW646" s="28">
        <f>+R646-'[6]Приложение №1'!$R613</f>
        <v>-793203.07</v>
      </c>
      <c r="AX646" s="28">
        <f>+S646-'[6]Приложение №1'!$S613</f>
        <v>1334926.1895053387</v>
      </c>
      <c r="AY646" s="28">
        <f>+T646-'[6]Приложение №1'!$T613</f>
        <v>0</v>
      </c>
    </row>
    <row r="647" spans="1:51" x14ac:dyDescent="0.25">
      <c r="A647" s="139">
        <f t="shared" si="218"/>
        <v>628</v>
      </c>
      <c r="B647" s="140">
        <f t="shared" si="219"/>
        <v>166</v>
      </c>
      <c r="C647" s="120" t="s">
        <v>51</v>
      </c>
      <c r="D647" s="120" t="s">
        <v>495</v>
      </c>
      <c r="E647" s="121">
        <v>1968</v>
      </c>
      <c r="F647" s="121">
        <v>2013</v>
      </c>
      <c r="G647" s="121" t="s">
        <v>43</v>
      </c>
      <c r="H647" s="121">
        <v>4</v>
      </c>
      <c r="I647" s="121">
        <v>3</v>
      </c>
      <c r="J647" s="107">
        <v>2488.5</v>
      </c>
      <c r="K647" s="107">
        <v>2348.1999999999998</v>
      </c>
      <c r="L647" s="107">
        <v>69.599999999999994</v>
      </c>
      <c r="M647" s="122">
        <v>56</v>
      </c>
      <c r="N647" s="123">
        <f t="shared" ref="N647:N678" si="228">SUM(O647:T647)</f>
        <v>17172310.390230007</v>
      </c>
      <c r="O647" s="107"/>
      <c r="P647" s="108"/>
      <c r="Q647" s="108"/>
      <c r="R647" s="108">
        <f t="shared" ref="R647:R656" si="229">+AQ647+AR647</f>
        <v>1502454.86</v>
      </c>
      <c r="S647" s="108">
        <f>+AS647</f>
        <v>8954640</v>
      </c>
      <c r="T647" s="108">
        <f>+'Приложение №2'!E647-'Приложение №1'!P647-'Приложение №1'!R647-'Приложение №1'!S647</f>
        <v>6715215.5302300081</v>
      </c>
      <c r="U647" s="108">
        <f t="shared" si="213"/>
        <v>7312.9675454518392</v>
      </c>
      <c r="V647" s="108">
        <v>1333.2830200640001</v>
      </c>
      <c r="W647" s="135">
        <v>2024</v>
      </c>
      <c r="X647" s="28" t="e">
        <f>+#REF!-'[1]Приложение №1'!$P1446</f>
        <v>#REF!</v>
      </c>
      <c r="Z647" s="30">
        <f t="shared" si="227"/>
        <v>5047649.354092991</v>
      </c>
      <c r="AA647" s="26">
        <v>0</v>
      </c>
      <c r="AB647" s="26">
        <v>2080965.3426794703</v>
      </c>
      <c r="AC647" s="26">
        <v>0</v>
      </c>
      <c r="AD647" s="26">
        <v>1397905.6390375202</v>
      </c>
      <c r="AE647" s="26">
        <v>1036272.8319720001</v>
      </c>
      <c r="AF647" s="26"/>
      <c r="AG647" s="26">
        <v>210866.25214200001</v>
      </c>
      <c r="AH647" s="26">
        <v>0</v>
      </c>
      <c r="AI647" s="26">
        <v>0</v>
      </c>
      <c r="AJ647" s="26">
        <v>0</v>
      </c>
      <c r="AK647" s="26">
        <v>0</v>
      </c>
      <c r="AL647" s="26">
        <v>0</v>
      </c>
      <c r="AM647" s="26">
        <v>173345.08000000002</v>
      </c>
      <c r="AN647" s="26">
        <v>44945.94</v>
      </c>
      <c r="AO647" s="32">
        <v>103348.268262</v>
      </c>
      <c r="AP647" s="77">
        <f>+N647-'Приложение №2'!E647</f>
        <v>0</v>
      </c>
      <c r="AQ647" s="1">
        <v>1248740.06</v>
      </c>
      <c r="AR647" s="1">
        <f>+(K647*10+L647*20)*12*0.85</f>
        <v>253714.8</v>
      </c>
      <c r="AS647" s="1">
        <f>+(K647*10+L647*20)*12*30</f>
        <v>8954640</v>
      </c>
      <c r="AT647" s="28">
        <f t="shared" si="215"/>
        <v>0</v>
      </c>
      <c r="AU647" s="28">
        <f>+P647-'[6]Приложение №1'!$P614</f>
        <v>0</v>
      </c>
      <c r="AV647" s="28">
        <f>+Q647-'[6]Приложение №1'!$Q614</f>
        <v>0</v>
      </c>
      <c r="AW647" s="28">
        <f>+R647-'[6]Приложение №1'!$R614</f>
        <v>0</v>
      </c>
      <c r="AX647" s="28">
        <f>+S647-'[6]Приложение №1'!$S614</f>
        <v>0</v>
      </c>
      <c r="AY647" s="28">
        <f>+T647-'[6]Приложение №1'!$T614</f>
        <v>0</v>
      </c>
    </row>
    <row r="648" spans="1:51" x14ac:dyDescent="0.25">
      <c r="A648" s="139">
        <f t="shared" si="218"/>
        <v>629</v>
      </c>
      <c r="B648" s="140">
        <f t="shared" si="219"/>
        <v>167</v>
      </c>
      <c r="C648" s="120" t="s">
        <v>51</v>
      </c>
      <c r="D648" s="120" t="s">
        <v>447</v>
      </c>
      <c r="E648" s="121">
        <v>1977</v>
      </c>
      <c r="F648" s="121">
        <v>2013</v>
      </c>
      <c r="G648" s="121" t="s">
        <v>43</v>
      </c>
      <c r="H648" s="121">
        <v>9</v>
      </c>
      <c r="I648" s="121">
        <v>1</v>
      </c>
      <c r="J648" s="107">
        <v>2365.9899999999998</v>
      </c>
      <c r="K648" s="107">
        <v>1903.5</v>
      </c>
      <c r="L648" s="107">
        <v>136</v>
      </c>
      <c r="M648" s="122">
        <v>70</v>
      </c>
      <c r="N648" s="123">
        <f t="shared" si="228"/>
        <v>15454795.540899998</v>
      </c>
      <c r="O648" s="107"/>
      <c r="P648" s="108">
        <v>3855238.9237903948</v>
      </c>
      <c r="Q648" s="108"/>
      <c r="R648" s="108">
        <f t="shared" si="229"/>
        <v>1444067.7776044197</v>
      </c>
      <c r="S648" s="108">
        <f>+AS648</f>
        <v>9709501.1899999995</v>
      </c>
      <c r="T648" s="108">
        <f>+'Приложение №2'!E648-'Приложение №1'!P648-'Приложение №1'!Q648-'Приложение №1'!R648-'Приложение №1'!S648</f>
        <v>445987.6495051831</v>
      </c>
      <c r="U648" s="108">
        <f t="shared" si="213"/>
        <v>8119.1465935907527</v>
      </c>
      <c r="V648" s="108">
        <v>1334.2830200640001</v>
      </c>
      <c r="W648" s="135">
        <v>2024</v>
      </c>
      <c r="X648" s="28" t="e">
        <f>+#REF!-'[1]Приложение №1'!$P1200</f>
        <v>#REF!</v>
      </c>
      <c r="Z648" s="30">
        <f t="shared" si="227"/>
        <v>26854433.359999996</v>
      </c>
      <c r="AA648" s="26">
        <v>3681294.5645548799</v>
      </c>
      <c r="AB648" s="26">
        <v>2450899.70770344</v>
      </c>
      <c r="AC648" s="26">
        <v>0</v>
      </c>
      <c r="AD648" s="26">
        <v>1346040.4200070801</v>
      </c>
      <c r="AE648" s="26">
        <v>491527.90003842005</v>
      </c>
      <c r="AF648" s="26"/>
      <c r="AG648" s="26">
        <v>205504.30800059999</v>
      </c>
      <c r="AH648" s="26">
        <v>0</v>
      </c>
      <c r="AI648" s="26">
        <v>0</v>
      </c>
      <c r="AJ648" s="26">
        <v>0</v>
      </c>
      <c r="AK648" s="26">
        <v>15124062.916324738</v>
      </c>
      <c r="AL648" s="26">
        <v>0</v>
      </c>
      <c r="AM648" s="26">
        <v>2777050.0558000002</v>
      </c>
      <c r="AN648" s="31">
        <v>268544.33360000001</v>
      </c>
      <c r="AO648" s="32">
        <v>509509.15397084004</v>
      </c>
      <c r="AP648" s="77">
        <f>+N648-'Приложение №2'!E648</f>
        <v>0</v>
      </c>
      <c r="AQ648" s="28">
        <f>1333569.91-R128</f>
        <v>1154793.3806044199</v>
      </c>
      <c r="AR648" s="1">
        <f>+(K648*13.29+L648*22.52)*12*0.85</f>
        <v>289274.397</v>
      </c>
      <c r="AS648" s="1">
        <f>+(K648*13.29+L648*22.52)*12*30-S128</f>
        <v>9709501.1899999995</v>
      </c>
      <c r="AT648" s="28">
        <f t="shared" si="215"/>
        <v>0</v>
      </c>
      <c r="AU648" s="28">
        <f>+P648-'[6]Приложение №1'!$P615</f>
        <v>0</v>
      </c>
      <c r="AV648" s="28">
        <f>+Q648-'[6]Приложение №1'!$Q615</f>
        <v>0</v>
      </c>
      <c r="AW648" s="28">
        <f>+R648-'[6]Приложение №1'!$R615</f>
        <v>-178776.52939558029</v>
      </c>
      <c r="AX648" s="28">
        <f>+S648-'[6]Приложение №1'!$S615</f>
        <v>2422246.9393955804</v>
      </c>
      <c r="AY648" s="28">
        <f>+T648-'[6]Приложение №1'!$T615</f>
        <v>-2243470.41</v>
      </c>
    </row>
    <row r="649" spans="1:51" x14ac:dyDescent="0.25">
      <c r="A649" s="139">
        <f t="shared" si="218"/>
        <v>630</v>
      </c>
      <c r="B649" s="140">
        <f t="shared" si="219"/>
        <v>168</v>
      </c>
      <c r="C649" s="120" t="s">
        <v>51</v>
      </c>
      <c r="D649" s="120" t="s">
        <v>499</v>
      </c>
      <c r="E649" s="121">
        <v>1977</v>
      </c>
      <c r="F649" s="121">
        <v>2013</v>
      </c>
      <c r="G649" s="121" t="s">
        <v>43</v>
      </c>
      <c r="H649" s="121">
        <v>9</v>
      </c>
      <c r="I649" s="121">
        <v>1</v>
      </c>
      <c r="J649" s="107">
        <v>2366.89</v>
      </c>
      <c r="K649" s="107">
        <v>1904.8</v>
      </c>
      <c r="L649" s="107">
        <v>41.8</v>
      </c>
      <c r="M649" s="122">
        <v>59</v>
      </c>
      <c r="N649" s="123">
        <f t="shared" si="228"/>
        <v>15497815.610646002</v>
      </c>
      <c r="O649" s="107"/>
      <c r="P649" s="108">
        <v>4253791.2577114999</v>
      </c>
      <c r="Q649" s="108"/>
      <c r="R649" s="108">
        <f t="shared" si="229"/>
        <v>1267186.1455999999</v>
      </c>
      <c r="S649" s="108">
        <f>+AS649</f>
        <v>6603959.1275602179</v>
      </c>
      <c r="T649" s="108">
        <f>+'Приложение №2'!E649-'Приложение №1'!P649-'Приложение №1'!Q649-'Приложение №1'!R649-'Приложение №1'!S649</f>
        <v>3372879.0797742838</v>
      </c>
      <c r="U649" s="108">
        <f t="shared" si="213"/>
        <v>8136.1904717797161</v>
      </c>
      <c r="V649" s="108">
        <v>1335.2830200640001</v>
      </c>
      <c r="W649" s="135">
        <v>2024</v>
      </c>
      <c r="X649" s="28" t="e">
        <f>+#REF!-'[1]Приложение №1'!$P1201</f>
        <v>#REF!</v>
      </c>
      <c r="Z649" s="30">
        <f t="shared" si="227"/>
        <v>28541976.041246004</v>
      </c>
      <c r="AA649" s="26">
        <v>3719699.05</v>
      </c>
      <c r="AB649" s="26">
        <v>2452058.27684286</v>
      </c>
      <c r="AC649" s="26">
        <v>1492645.9296378</v>
      </c>
      <c r="AD649" s="26">
        <v>1346676.7170788401</v>
      </c>
      <c r="AE649" s="26">
        <v>491760.24805782002</v>
      </c>
      <c r="AF649" s="26"/>
      <c r="AG649" s="26">
        <v>205601.44794671997</v>
      </c>
      <c r="AH649" s="26">
        <v>0</v>
      </c>
      <c r="AI649" s="26">
        <v>0</v>
      </c>
      <c r="AJ649" s="26">
        <v>0</v>
      </c>
      <c r="AK649" s="26">
        <v>15131212.272876842</v>
      </c>
      <c r="AL649" s="26">
        <v>0</v>
      </c>
      <c r="AM649" s="26">
        <v>2959194.6140999999</v>
      </c>
      <c r="AN649" s="31">
        <v>245562.47510000001</v>
      </c>
      <c r="AO649" s="32">
        <v>497565.00960512011</v>
      </c>
      <c r="AP649" s="77">
        <f>+N649-'Приложение №2'!E649</f>
        <v>0</v>
      </c>
      <c r="AQ649" s="28">
        <f>1227927.06-R350</f>
        <v>999373.64</v>
      </c>
      <c r="AR649" s="1">
        <f>+(K649*13.29+L649*22.52)*12*0.85</f>
        <v>267812.50559999997</v>
      </c>
      <c r="AS649" s="1">
        <f>+(K649*13.29+L649*22.52)*12*30-S350</f>
        <v>6603959.1275602179</v>
      </c>
      <c r="AT649" s="28">
        <f t="shared" si="215"/>
        <v>0</v>
      </c>
      <c r="AU649" s="28">
        <f>+P649-'[6]Приложение №1'!$P616</f>
        <v>0</v>
      </c>
      <c r="AV649" s="28">
        <f>+Q649-'[6]Приложение №1'!$Q616</f>
        <v>0</v>
      </c>
      <c r="AW649" s="28">
        <f>+R649-'[6]Приложение №1'!$R616</f>
        <v>0</v>
      </c>
      <c r="AX649" s="28">
        <f>+S649-'[6]Приложение №1'!$S616</f>
        <v>0</v>
      </c>
      <c r="AY649" s="28">
        <f>+T649-'[6]Приложение №1'!$T616</f>
        <v>0</v>
      </c>
    </row>
    <row r="650" spans="1:51" x14ac:dyDescent="0.25">
      <c r="A650" s="139">
        <f t="shared" si="218"/>
        <v>631</v>
      </c>
      <c r="B650" s="140">
        <f t="shared" si="219"/>
        <v>169</v>
      </c>
      <c r="C650" s="120" t="s">
        <v>51</v>
      </c>
      <c r="D650" s="120" t="s">
        <v>554</v>
      </c>
      <c r="E650" s="121">
        <v>1994</v>
      </c>
      <c r="F650" s="121">
        <v>2005</v>
      </c>
      <c r="G650" s="121" t="s">
        <v>43</v>
      </c>
      <c r="H650" s="121">
        <v>5</v>
      </c>
      <c r="I650" s="121">
        <v>2</v>
      </c>
      <c r="J650" s="107">
        <v>2052</v>
      </c>
      <c r="K650" s="107">
        <v>1876.9</v>
      </c>
      <c r="L650" s="107">
        <v>0</v>
      </c>
      <c r="M650" s="122">
        <v>80</v>
      </c>
      <c r="N650" s="123">
        <f t="shared" si="228"/>
        <v>26407589.646799996</v>
      </c>
      <c r="O650" s="107"/>
      <c r="P650" s="108">
        <v>4373889.0319999987</v>
      </c>
      <c r="Q650" s="108"/>
      <c r="R650" s="108">
        <f t="shared" si="229"/>
        <v>893514.12000000011</v>
      </c>
      <c r="S650" s="108">
        <f>+AS650</f>
        <v>6756840</v>
      </c>
      <c r="T650" s="108">
        <f>+'Приложение №2'!E650-'Приложение №1'!P650-'Приложение №1'!R650-'Приложение №1'!S650</f>
        <v>14383346.494799998</v>
      </c>
      <c r="U650" s="108">
        <f t="shared" si="213"/>
        <v>14069.790423997014</v>
      </c>
      <c r="V650" s="108">
        <v>1336.2830200640001</v>
      </c>
      <c r="W650" s="135">
        <v>2024</v>
      </c>
      <c r="X650" s="28" t="e">
        <f>+#REF!-'[1]Приложение №1'!$P1104</f>
        <v>#REF!</v>
      </c>
      <c r="Z650" s="30">
        <f t="shared" si="227"/>
        <v>30419518.07</v>
      </c>
      <c r="AA650" s="26">
        <v>4454647.7270950191</v>
      </c>
      <c r="AB650" s="26">
        <v>1587374.11791714</v>
      </c>
      <c r="AC650" s="26">
        <v>1658452.76095254</v>
      </c>
      <c r="AD650" s="26">
        <v>1038296.2829962799</v>
      </c>
      <c r="AE650" s="26">
        <v>635267.56802165997</v>
      </c>
      <c r="AF650" s="26"/>
      <c r="AG650" s="26">
        <v>170937.02604636003</v>
      </c>
      <c r="AH650" s="26">
        <v>0</v>
      </c>
      <c r="AI650" s="26">
        <v>8143773.8420052007</v>
      </c>
      <c r="AJ650" s="26">
        <v>0</v>
      </c>
      <c r="AK650" s="26">
        <v>4228285.0782631198</v>
      </c>
      <c r="AL650" s="26">
        <v>4560700.3930828199</v>
      </c>
      <c r="AM650" s="26">
        <v>3058573.6594000002</v>
      </c>
      <c r="AN650" s="31">
        <v>304195.18070000003</v>
      </c>
      <c r="AO650" s="32">
        <v>579014.43351986003</v>
      </c>
      <c r="AP650" s="77">
        <f>+N650-'Приложение №2'!E650</f>
        <v>0</v>
      </c>
      <c r="AQ650" s="1">
        <f>929942.06-227871.74</f>
        <v>702070.32000000007</v>
      </c>
      <c r="AR650" s="1">
        <f>+(K650*10+L650*20)*12*0.85</f>
        <v>191443.8</v>
      </c>
      <c r="AS650" s="1">
        <f>+(K650*10+L650*20)*12*30</f>
        <v>6756840</v>
      </c>
      <c r="AT650" s="28">
        <f t="shared" si="215"/>
        <v>0</v>
      </c>
      <c r="AU650" s="28">
        <f>+P650-'[6]Приложение №1'!$P617</f>
        <v>0</v>
      </c>
      <c r="AV650" s="28">
        <f>+Q650-'[6]Приложение №1'!$Q617</f>
        <v>0</v>
      </c>
      <c r="AW650" s="28">
        <f>+R650-'[6]Приложение №1'!$R617</f>
        <v>0</v>
      </c>
      <c r="AX650" s="28">
        <f>+S650-'[6]Приложение №1'!$S617</f>
        <v>0</v>
      </c>
      <c r="AY650" s="28">
        <f>+T650-'[6]Приложение №1'!$T617</f>
        <v>0</v>
      </c>
    </row>
    <row r="651" spans="1:51" x14ac:dyDescent="0.25">
      <c r="A651" s="139">
        <f t="shared" si="218"/>
        <v>632</v>
      </c>
      <c r="B651" s="140">
        <f t="shared" si="219"/>
        <v>170</v>
      </c>
      <c r="C651" s="120" t="s">
        <v>51</v>
      </c>
      <c r="D651" s="120" t="s">
        <v>449</v>
      </c>
      <c r="E651" s="121">
        <v>1973</v>
      </c>
      <c r="F651" s="121">
        <v>2013</v>
      </c>
      <c r="G651" s="121" t="s">
        <v>43</v>
      </c>
      <c r="H651" s="121">
        <v>5</v>
      </c>
      <c r="I651" s="121">
        <v>8</v>
      </c>
      <c r="J651" s="107">
        <v>6624.9</v>
      </c>
      <c r="K651" s="107">
        <v>5826</v>
      </c>
      <c r="L651" s="107">
        <v>239.3</v>
      </c>
      <c r="M651" s="122">
        <v>272</v>
      </c>
      <c r="N651" s="123">
        <f t="shared" si="228"/>
        <v>43944884.196869135</v>
      </c>
      <c r="O651" s="107"/>
      <c r="P651" s="108">
        <v>5150859.8834408009</v>
      </c>
      <c r="Q651" s="108"/>
      <c r="R651" s="108">
        <f t="shared" si="229"/>
        <v>1504844.05776</v>
      </c>
      <c r="S651" s="108">
        <f>+AS651</f>
        <v>22696560</v>
      </c>
      <c r="T651" s="108">
        <f>+'Приложение №2'!E651-'Приложение №1'!P651-'Приложение №1'!R651-'Приложение №1'!S651</f>
        <v>14592620.255668335</v>
      </c>
      <c r="U651" s="108">
        <f t="shared" si="213"/>
        <v>7542.8912112717362</v>
      </c>
      <c r="V651" s="108">
        <v>1337.2830200640001</v>
      </c>
      <c r="W651" s="135">
        <v>2024</v>
      </c>
      <c r="X651" s="28" t="e">
        <f>+#REF!-'[1]Приложение №1'!$P950</f>
        <v>#REF!</v>
      </c>
      <c r="Z651" s="30">
        <f t="shared" si="227"/>
        <v>68280809.790000007</v>
      </c>
      <c r="AA651" s="26">
        <v>14487752.111381641</v>
      </c>
      <c r="AB651" s="26">
        <v>5162581.6814224795</v>
      </c>
      <c r="AC651" s="26">
        <v>5393749.1598622799</v>
      </c>
      <c r="AD651" s="26">
        <v>3376828.00437696</v>
      </c>
      <c r="AE651" s="26">
        <v>2066066.6377251605</v>
      </c>
      <c r="AF651" s="26"/>
      <c r="AG651" s="26">
        <v>0</v>
      </c>
      <c r="AH651" s="26">
        <v>0</v>
      </c>
      <c r="AI651" s="26">
        <v>0</v>
      </c>
      <c r="AJ651" s="26">
        <v>0</v>
      </c>
      <c r="AK651" s="26">
        <v>13751557.888197359</v>
      </c>
      <c r="AL651" s="26">
        <v>14832664.840462981</v>
      </c>
      <c r="AM651" s="26">
        <v>7235033.8570000008</v>
      </c>
      <c r="AN651" s="31">
        <v>682808.09790000005</v>
      </c>
      <c r="AO651" s="32">
        <v>1291767.5116711401</v>
      </c>
      <c r="AP651" s="77">
        <f>+N651-'Приложение №2'!E651</f>
        <v>0</v>
      </c>
      <c r="AQ651" s="28">
        <f>3058321.2-R130</f>
        <v>861774.85776000004</v>
      </c>
      <c r="AR651" s="1">
        <f>+(K651*10+L651*20)*12*0.85</f>
        <v>643069.19999999995</v>
      </c>
      <c r="AS651" s="1">
        <f>+(K651*10+L651*20)*12*30-S130</f>
        <v>22696560</v>
      </c>
      <c r="AT651" s="28">
        <f t="shared" si="215"/>
        <v>0</v>
      </c>
      <c r="AU651" s="28">
        <f>+P651-'[6]Приложение №1'!$P618</f>
        <v>0</v>
      </c>
      <c r="AV651" s="28">
        <f>+Q651-'[6]Приложение №1'!$Q618</f>
        <v>0</v>
      </c>
      <c r="AW651" s="28">
        <f>+R651-'[6]Приложение №1'!$R618</f>
        <v>-405707.16000000015</v>
      </c>
      <c r="AX651" s="28">
        <f>+S651-'[6]Приложение №1'!$S618</f>
        <v>0</v>
      </c>
      <c r="AY651" s="28">
        <f>+T651-'[6]Приложение №1'!$T618</f>
        <v>1256470.7744651288</v>
      </c>
    </row>
    <row r="652" spans="1:51" x14ac:dyDescent="0.25">
      <c r="A652" s="139">
        <f t="shared" si="218"/>
        <v>633</v>
      </c>
      <c r="B652" s="140">
        <f t="shared" si="219"/>
        <v>171</v>
      </c>
      <c r="C652" s="120" t="s">
        <v>51</v>
      </c>
      <c r="D652" s="120" t="s">
        <v>555</v>
      </c>
      <c r="E652" s="121">
        <v>1978</v>
      </c>
      <c r="F652" s="121">
        <v>2013</v>
      </c>
      <c r="G652" s="121" t="s">
        <v>83</v>
      </c>
      <c r="H652" s="121">
        <v>4</v>
      </c>
      <c r="I652" s="121">
        <v>4</v>
      </c>
      <c r="J652" s="107">
        <v>3933.3</v>
      </c>
      <c r="K652" s="107">
        <v>3440.6</v>
      </c>
      <c r="L652" s="107">
        <v>0</v>
      </c>
      <c r="M652" s="122">
        <v>158</v>
      </c>
      <c r="N652" s="123">
        <f t="shared" si="228"/>
        <v>13967958.4</v>
      </c>
      <c r="O652" s="107"/>
      <c r="P652" s="108"/>
      <c r="Q652" s="108"/>
      <c r="R652" s="108">
        <f t="shared" si="229"/>
        <v>1955455.68</v>
      </c>
      <c r="S652" s="108">
        <f>+'Приложение №2'!E652-'Приложение №1'!R652</f>
        <v>12012502.720000001</v>
      </c>
      <c r="T652" s="108">
        <v>0</v>
      </c>
      <c r="U652" s="108">
        <f t="shared" si="213"/>
        <v>4059.7449282101961</v>
      </c>
      <c r="V652" s="108">
        <v>1338.2830200640001</v>
      </c>
      <c r="W652" s="135">
        <v>2024</v>
      </c>
      <c r="X652" s="28" t="e">
        <f>+#REF!-'[1]Приложение №1'!$P1105</f>
        <v>#REF!</v>
      </c>
      <c r="Z652" s="30">
        <f t="shared" si="227"/>
        <v>19368823.829999998</v>
      </c>
      <c r="AA652" s="26">
        <v>5746844.1079849806</v>
      </c>
      <c r="AB652" s="26">
        <v>3323557.0585698597</v>
      </c>
      <c r="AC652" s="26">
        <v>3513245.8927511401</v>
      </c>
      <c r="AD652" s="26">
        <v>2678879.85971676</v>
      </c>
      <c r="AE652" s="26">
        <v>1070157.6639255602</v>
      </c>
      <c r="AF652" s="26"/>
      <c r="AG652" s="26">
        <v>285559.1703006</v>
      </c>
      <c r="AH652" s="26">
        <v>0</v>
      </c>
      <c r="AI652" s="26">
        <v>0</v>
      </c>
      <c r="AJ652" s="26">
        <v>0</v>
      </c>
      <c r="AK652" s="26">
        <v>0</v>
      </c>
      <c r="AL652" s="26">
        <v>0</v>
      </c>
      <c r="AM652" s="26">
        <v>2193484.5052</v>
      </c>
      <c r="AN652" s="31">
        <v>193688.2383</v>
      </c>
      <c r="AO652" s="32">
        <v>363407.33325110003</v>
      </c>
      <c r="AP652" s="77">
        <f>+N652-'Приложение №2'!E652</f>
        <v>0</v>
      </c>
      <c r="AQ652" s="1">
        <f>1707040.6-102526.12</f>
        <v>1604514.48</v>
      </c>
      <c r="AR652" s="1">
        <f>+(K652*10+L652*20)*12*0.85</f>
        <v>350941.2</v>
      </c>
      <c r="AS652" s="1">
        <f>+(K652*10+L652*20)*12*30</f>
        <v>12386160</v>
      </c>
      <c r="AT652" s="28">
        <f t="shared" si="215"/>
        <v>-373657.27999999933</v>
      </c>
      <c r="AU652" s="28">
        <f>+P652-'[6]Приложение №1'!$P619</f>
        <v>0</v>
      </c>
      <c r="AV652" s="28">
        <f>+Q652-'[6]Приложение №1'!$Q619</f>
        <v>0</v>
      </c>
      <c r="AW652" s="28">
        <f>+R652-'[6]Приложение №1'!$R619</f>
        <v>0</v>
      </c>
      <c r="AX652" s="28">
        <f>+S652-'[6]Приложение №1'!$S619</f>
        <v>0</v>
      </c>
      <c r="AY652" s="28">
        <f>+T652-'[6]Приложение №1'!$T619</f>
        <v>0</v>
      </c>
    </row>
    <row r="653" spans="1:51" x14ac:dyDescent="0.25">
      <c r="A653" s="139">
        <f t="shared" si="218"/>
        <v>634</v>
      </c>
      <c r="B653" s="140">
        <f t="shared" si="219"/>
        <v>172</v>
      </c>
      <c r="C653" s="120" t="s">
        <v>51</v>
      </c>
      <c r="D653" s="120" t="s">
        <v>556</v>
      </c>
      <c r="E653" s="121">
        <v>1984</v>
      </c>
      <c r="F653" s="121">
        <v>2013</v>
      </c>
      <c r="G653" s="121" t="s">
        <v>83</v>
      </c>
      <c r="H653" s="121">
        <v>5</v>
      </c>
      <c r="I653" s="121">
        <v>6</v>
      </c>
      <c r="J653" s="107">
        <v>7065.3</v>
      </c>
      <c r="K653" s="107">
        <v>6214.8</v>
      </c>
      <c r="L653" s="107">
        <v>0</v>
      </c>
      <c r="M653" s="122">
        <v>231</v>
      </c>
      <c r="N653" s="123">
        <f t="shared" si="228"/>
        <v>62722849.571893282</v>
      </c>
      <c r="O653" s="107"/>
      <c r="P653" s="108">
        <v>9745896.1752586551</v>
      </c>
      <c r="Q653" s="108"/>
      <c r="R653" s="108">
        <f t="shared" si="229"/>
        <v>3455766.3000000003</v>
      </c>
      <c r="S653" s="108">
        <f>+AS653</f>
        <v>22373280</v>
      </c>
      <c r="T653" s="108">
        <f>+'Приложение №2'!E653-'Приложение №1'!P653-'Приложение №1'!R653-'Приложение №1'!S653</f>
        <v>27147907.096634626</v>
      </c>
      <c r="U653" s="108">
        <f t="shared" si="213"/>
        <v>10092.496873896711</v>
      </c>
      <c r="V653" s="108">
        <v>1340.2830200640001</v>
      </c>
      <c r="W653" s="135">
        <v>2024</v>
      </c>
      <c r="X653" s="28" t="e">
        <f>+#REF!-'[1]Приложение №1'!$P1107</f>
        <v>#REF!</v>
      </c>
      <c r="Z653" s="30">
        <f t="shared" si="227"/>
        <v>77406979.776293278</v>
      </c>
      <c r="AA653" s="26">
        <v>10370296.47949386</v>
      </c>
      <c r="AB653" s="26">
        <v>5997425.9547111001</v>
      </c>
      <c r="AC653" s="26">
        <v>6339723.2965151407</v>
      </c>
      <c r="AD653" s="26">
        <v>4834092.9101480395</v>
      </c>
      <c r="AE653" s="26">
        <v>1931121.1633392</v>
      </c>
      <c r="AF653" s="26"/>
      <c r="AG653" s="26">
        <v>515297.3006874001</v>
      </c>
      <c r="AH653" s="26">
        <v>0</v>
      </c>
      <c r="AI653" s="26">
        <v>18460706.644925997</v>
      </c>
      <c r="AJ653" s="26">
        <v>0</v>
      </c>
      <c r="AK653" s="26"/>
      <c r="AL653" s="26">
        <v>14096028.4779699</v>
      </c>
      <c r="AM653" s="26">
        <v>11578293.868000001</v>
      </c>
      <c r="AN653" s="31">
        <v>1132485.4643999999</v>
      </c>
      <c r="AO653" s="32">
        <v>2151508.2161026397</v>
      </c>
      <c r="AP653" s="77">
        <f>+N653-'Приложение №2'!E653</f>
        <v>0</v>
      </c>
      <c r="AQ653" s="1">
        <v>2821856.7</v>
      </c>
      <c r="AR653" s="1">
        <f>+(K653*10+L653*20)*12*0.85</f>
        <v>633909.6</v>
      </c>
      <c r="AS653" s="1">
        <f>+(K653*10+L653*20)*12*30</f>
        <v>22373280</v>
      </c>
      <c r="AT653" s="28">
        <f t="shared" si="215"/>
        <v>0</v>
      </c>
      <c r="AU653" s="28">
        <f>+P653-'[6]Приложение №1'!$P620</f>
        <v>0</v>
      </c>
      <c r="AV653" s="28">
        <f>+Q653-'[6]Приложение №1'!$Q620</f>
        <v>0</v>
      </c>
      <c r="AW653" s="28">
        <f>+R653-'[6]Приложение №1'!$R620</f>
        <v>0</v>
      </c>
      <c r="AX653" s="28">
        <f>+S653-'[6]Приложение №1'!$S620</f>
        <v>0</v>
      </c>
      <c r="AY653" s="28">
        <f>+T653-'[6]Приложение №1'!$T620</f>
        <v>0</v>
      </c>
    </row>
    <row r="654" spans="1:51" x14ac:dyDescent="0.25">
      <c r="A654" s="139">
        <f t="shared" si="218"/>
        <v>635</v>
      </c>
      <c r="B654" s="140">
        <f t="shared" si="219"/>
        <v>173</v>
      </c>
      <c r="C654" s="120" t="s">
        <v>51</v>
      </c>
      <c r="D654" s="120" t="s">
        <v>452</v>
      </c>
      <c r="E654" s="121">
        <v>1977</v>
      </c>
      <c r="F654" s="121">
        <v>2013</v>
      </c>
      <c r="G654" s="121" t="s">
        <v>43</v>
      </c>
      <c r="H654" s="121">
        <v>9</v>
      </c>
      <c r="I654" s="121">
        <v>1</v>
      </c>
      <c r="J654" s="107">
        <v>2362.6</v>
      </c>
      <c r="K654" s="107">
        <v>1902.4</v>
      </c>
      <c r="L654" s="107">
        <v>195.5</v>
      </c>
      <c r="M654" s="122">
        <v>72</v>
      </c>
      <c r="N654" s="123">
        <f t="shared" si="228"/>
        <v>15471833.963887997</v>
      </c>
      <c r="O654" s="107"/>
      <c r="P654" s="108">
        <v>4263457.8798470004</v>
      </c>
      <c r="Q654" s="108"/>
      <c r="R654" s="108">
        <f t="shared" si="229"/>
        <v>1591411.7512000001</v>
      </c>
      <c r="S654" s="108">
        <f>+'Приложение №2'!E654-'Приложение №1'!P654-'Приложение №1'!R654</f>
        <v>9616964.3328409959</v>
      </c>
      <c r="T654" s="108">
        <v>0</v>
      </c>
      <c r="U654" s="108">
        <f t="shared" si="213"/>
        <v>8132.7974999411254</v>
      </c>
      <c r="V654" s="108">
        <v>1341.2830200640001</v>
      </c>
      <c r="W654" s="135">
        <v>2024</v>
      </c>
      <c r="X654" s="28" t="e">
        <f>+#REF!-'[1]Приложение №1'!$P1204</f>
        <v>#REF!</v>
      </c>
      <c r="Z654" s="30">
        <f t="shared" si="227"/>
        <v>28501175.670387998</v>
      </c>
      <c r="AA654" s="26">
        <v>3719699.05</v>
      </c>
      <c r="AB654" s="26">
        <v>2447938.8995804396</v>
      </c>
      <c r="AC654" s="26">
        <v>1490138.3398477801</v>
      </c>
      <c r="AD654" s="26">
        <v>1344414.3471276001</v>
      </c>
      <c r="AE654" s="26">
        <v>490934.10601116001</v>
      </c>
      <c r="AF654" s="26"/>
      <c r="AG654" s="26">
        <v>205256.04442223997</v>
      </c>
      <c r="AH654" s="26">
        <v>0</v>
      </c>
      <c r="AI654" s="26">
        <v>0</v>
      </c>
      <c r="AJ654" s="26">
        <v>0</v>
      </c>
      <c r="AK654" s="26">
        <v>15105792.339437097</v>
      </c>
      <c r="AL654" s="26">
        <v>0</v>
      </c>
      <c r="AM654" s="26">
        <v>2953956.3437999999</v>
      </c>
      <c r="AN654" s="31">
        <v>246262.91500000001</v>
      </c>
      <c r="AO654" s="32">
        <v>496783.28516168008</v>
      </c>
      <c r="AP654" s="77">
        <f>+N654-'Приложение №2'!E654</f>
        <v>0</v>
      </c>
      <c r="AQ654" s="28">
        <f>1288619.08-R133</f>
        <v>1288619.08</v>
      </c>
      <c r="AR654" s="1">
        <f>+(K654*13.29+L654*22.52)*12*0.85</f>
        <v>302792.67119999998</v>
      </c>
      <c r="AS654" s="1">
        <f>+(K654*13.29+L654*22.52)*12*30-S133</f>
        <v>8869419.7034900598</v>
      </c>
      <c r="AT654" s="28">
        <f t="shared" si="215"/>
        <v>747544.62935093604</v>
      </c>
      <c r="AU654" s="28">
        <f>+P654-'[6]Приложение №1'!$P621</f>
        <v>0</v>
      </c>
      <c r="AV654" s="28">
        <f>+Q654-'[6]Приложение №1'!$Q621</f>
        <v>0</v>
      </c>
      <c r="AW654" s="28">
        <f>+R654-'[6]Приложение №1'!$R621</f>
        <v>312117.43999999994</v>
      </c>
      <c r="AX654" s="28">
        <f>+S654-'[6]Приложение №1'!$S621</f>
        <v>1773680.3293509372</v>
      </c>
      <c r="AY654" s="28">
        <f>+T654-'[6]Приложение №1'!$T621</f>
        <v>-2085797.7693509366</v>
      </c>
    </row>
    <row r="655" spans="1:51" x14ac:dyDescent="0.25">
      <c r="A655" s="139">
        <f t="shared" si="218"/>
        <v>636</v>
      </c>
      <c r="B655" s="140">
        <f t="shared" si="219"/>
        <v>174</v>
      </c>
      <c r="C655" s="120" t="s">
        <v>51</v>
      </c>
      <c r="D655" s="120" t="s">
        <v>557</v>
      </c>
      <c r="E655" s="121">
        <v>1995</v>
      </c>
      <c r="F655" s="121">
        <v>2013</v>
      </c>
      <c r="G655" s="121" t="s">
        <v>43</v>
      </c>
      <c r="H655" s="121">
        <v>4</v>
      </c>
      <c r="I655" s="121">
        <v>3</v>
      </c>
      <c r="J655" s="107">
        <v>1839</v>
      </c>
      <c r="K655" s="107">
        <v>1773.6</v>
      </c>
      <c r="L655" s="107">
        <v>0</v>
      </c>
      <c r="M655" s="122">
        <v>81</v>
      </c>
      <c r="N655" s="123">
        <f t="shared" si="228"/>
        <v>8700505.9915000014</v>
      </c>
      <c r="O655" s="107"/>
      <c r="P655" s="108">
        <v>590238.2375000004</v>
      </c>
      <c r="Q655" s="108"/>
      <c r="R655" s="108">
        <f t="shared" si="229"/>
        <v>910232.0199999999</v>
      </c>
      <c r="S655" s="108">
        <f>+AS655</f>
        <v>6384960</v>
      </c>
      <c r="T655" s="108">
        <f>+'Приложение №2'!E655-'Приложение №1'!P655-'Приложение №1'!R655-'Приложение №1'!S655</f>
        <v>815075.7340000011</v>
      </c>
      <c r="U655" s="108">
        <f t="shared" si="213"/>
        <v>4905.5626925462348</v>
      </c>
      <c r="V655" s="108">
        <v>1342.2830200640001</v>
      </c>
      <c r="W655" s="135">
        <v>2024</v>
      </c>
      <c r="X655" s="28" t="e">
        <f>+#REF!-'[1]Приложение №1'!$P726</f>
        <v>#REF!</v>
      </c>
      <c r="Z655" s="30">
        <f t="shared" si="227"/>
        <v>23166447.680000003</v>
      </c>
      <c r="AA655" s="26">
        <v>4256960.5015337411</v>
      </c>
      <c r="AB655" s="26">
        <v>1516930.0345470598</v>
      </c>
      <c r="AC655" s="26">
        <v>1584854.3608997399</v>
      </c>
      <c r="AD655" s="26">
        <v>992219.03665164008</v>
      </c>
      <c r="AE655" s="26">
        <v>0</v>
      </c>
      <c r="AF655" s="26"/>
      <c r="AG655" s="26">
        <v>163351.22964971996</v>
      </c>
      <c r="AH655" s="26">
        <v>0</v>
      </c>
      <c r="AI655" s="26">
        <v>7782371.5100418003</v>
      </c>
      <c r="AJ655" s="26">
        <v>0</v>
      </c>
      <c r="AK655" s="26">
        <v>4040643.3169443598</v>
      </c>
      <c r="AL655" s="26">
        <v>0</v>
      </c>
      <c r="AM655" s="26">
        <v>2152716.9961000001</v>
      </c>
      <c r="AN655" s="31">
        <v>231664.4768</v>
      </c>
      <c r="AO655" s="32">
        <v>444736.21683194005</v>
      </c>
      <c r="AP655" s="77">
        <f>+N655-'Приложение №2'!E655</f>
        <v>0</v>
      </c>
      <c r="AQ655" s="1">
        <v>729324.82</v>
      </c>
      <c r="AR655" s="1">
        <f t="shared" ref="AR655:AR693" si="230">+(K655*10+L655*20)*12*0.85</f>
        <v>180907.19999999998</v>
      </c>
      <c r="AS655" s="1">
        <f>+(K655*10+L655*20)*12*30</f>
        <v>6384960</v>
      </c>
      <c r="AT655" s="28">
        <f t="shared" si="215"/>
        <v>0</v>
      </c>
      <c r="AU655" s="28">
        <f>+P655-'[6]Приложение №1'!$P622</f>
        <v>0</v>
      </c>
      <c r="AV655" s="28">
        <f>+Q655-'[6]Приложение №1'!$Q622</f>
        <v>0</v>
      </c>
      <c r="AW655" s="28">
        <f>+R655-'[6]Приложение №1'!$R622</f>
        <v>0</v>
      </c>
      <c r="AX655" s="28">
        <f>+S655-'[6]Приложение №1'!$S622</f>
        <v>0</v>
      </c>
      <c r="AY655" s="28">
        <f>+T655-'[6]Приложение №1'!$T622</f>
        <v>0</v>
      </c>
    </row>
    <row r="656" spans="1:51" x14ac:dyDescent="0.25">
      <c r="A656" s="139">
        <f t="shared" si="218"/>
        <v>637</v>
      </c>
      <c r="B656" s="140">
        <f t="shared" si="219"/>
        <v>175</v>
      </c>
      <c r="C656" s="120" t="s">
        <v>44</v>
      </c>
      <c r="D656" s="120" t="s">
        <v>563</v>
      </c>
      <c r="E656" s="121">
        <v>1969</v>
      </c>
      <c r="F656" s="121">
        <v>2013</v>
      </c>
      <c r="G656" s="121" t="s">
        <v>43</v>
      </c>
      <c r="H656" s="121">
        <v>4</v>
      </c>
      <c r="I656" s="121">
        <v>4</v>
      </c>
      <c r="J656" s="107">
        <v>3016.9</v>
      </c>
      <c r="K656" s="107">
        <v>2778.3</v>
      </c>
      <c r="L656" s="107">
        <v>0</v>
      </c>
      <c r="M656" s="122">
        <v>148</v>
      </c>
      <c r="N656" s="123">
        <f t="shared" si="228"/>
        <v>2524095.1532999994</v>
      </c>
      <c r="O656" s="107"/>
      <c r="P656" s="108">
        <v>549981.94500000007</v>
      </c>
      <c r="Q656" s="108"/>
      <c r="R656" s="108">
        <f t="shared" si="229"/>
        <v>636134.18999999994</v>
      </c>
      <c r="S656" s="108">
        <f>+AS656</f>
        <v>1317036.33</v>
      </c>
      <c r="T656" s="108">
        <f>+'Приложение №2'!E656-'Приложение №1'!P656-'Приложение №1'!R656-'Приложение №1'!S656</f>
        <v>20942.688299999805</v>
      </c>
      <c r="U656" s="108">
        <f t="shared" si="213"/>
        <v>908.50345653817055</v>
      </c>
      <c r="V656" s="108">
        <v>1343.2830200640001</v>
      </c>
      <c r="W656" s="135">
        <v>2024</v>
      </c>
      <c r="X656" s="28" t="e">
        <f>+#REF!-'[1]Приложение №1'!$P1451</f>
        <v>#REF!</v>
      </c>
      <c r="Y656" s="1" t="s">
        <v>86</v>
      </c>
      <c r="Z656" s="30">
        <f t="shared" si="227"/>
        <v>43468971.049999997</v>
      </c>
      <c r="AA656" s="26">
        <v>6634698.5656060204</v>
      </c>
      <c r="AB656" s="26">
        <v>2364215.8595970604</v>
      </c>
      <c r="AC656" s="26">
        <v>2470079.5170193799</v>
      </c>
      <c r="AD656" s="26">
        <v>0</v>
      </c>
      <c r="AE656" s="26">
        <v>946159.85291436012</v>
      </c>
      <c r="AF656" s="26"/>
      <c r="AG656" s="26">
        <v>254591.55199295998</v>
      </c>
      <c r="AH656" s="26">
        <v>0</v>
      </c>
      <c r="AI656" s="26">
        <v>12129238.4675742</v>
      </c>
      <c r="AJ656" s="26">
        <v>0</v>
      </c>
      <c r="AK656" s="26">
        <v>6297556.7640778795</v>
      </c>
      <c r="AL656" s="26">
        <v>6792652.1243855394</v>
      </c>
      <c r="AM656" s="26">
        <v>4316528.7305000005</v>
      </c>
      <c r="AN656" s="31">
        <v>434689.71049999999</v>
      </c>
      <c r="AO656" s="32">
        <v>828559.90583259996</v>
      </c>
      <c r="AP656" s="77">
        <f>+N656-'Приложение №2'!E656</f>
        <v>0</v>
      </c>
      <c r="AQ656" s="28">
        <f>1200544.79-R136</f>
        <v>352747.58999999997</v>
      </c>
      <c r="AR656" s="1">
        <f t="shared" si="230"/>
        <v>283386.59999999998</v>
      </c>
      <c r="AS656" s="1">
        <f>+(K656*10+L656*20)*12*30-7837046.47-R136</f>
        <v>1317036.33</v>
      </c>
      <c r="AT656" s="28">
        <f t="shared" si="215"/>
        <v>0</v>
      </c>
      <c r="AU656" s="28">
        <f>+P656-'[6]Приложение №1'!$P623</f>
        <v>0</v>
      </c>
      <c r="AV656" s="28">
        <f>+Q656-'[6]Приложение №1'!$Q623</f>
        <v>0</v>
      </c>
      <c r="AW656" s="28">
        <f>+R656-'[6]Приложение №1'!$R623</f>
        <v>0</v>
      </c>
      <c r="AX656" s="28">
        <f>+S656-'[6]Приложение №1'!$S623</f>
        <v>0</v>
      </c>
      <c r="AY656" s="28">
        <f>+T656-'[6]Приложение №1'!$T623</f>
        <v>0</v>
      </c>
    </row>
    <row r="657" spans="1:51" x14ac:dyDescent="0.25">
      <c r="A657" s="139">
        <f t="shared" si="218"/>
        <v>638</v>
      </c>
      <c r="B657" s="140">
        <f t="shared" si="219"/>
        <v>176</v>
      </c>
      <c r="C657" s="120" t="s">
        <v>44</v>
      </c>
      <c r="D657" s="120" t="s">
        <v>565</v>
      </c>
      <c r="E657" s="121">
        <v>1962</v>
      </c>
      <c r="F657" s="121">
        <v>1962</v>
      </c>
      <c r="G657" s="121" t="s">
        <v>43</v>
      </c>
      <c r="H657" s="121">
        <v>2</v>
      </c>
      <c r="I657" s="121">
        <v>1</v>
      </c>
      <c r="J657" s="107">
        <v>618.70000000000005</v>
      </c>
      <c r="K657" s="107">
        <v>460.5</v>
      </c>
      <c r="L657" s="107">
        <v>0</v>
      </c>
      <c r="M657" s="122">
        <v>45</v>
      </c>
      <c r="N657" s="123">
        <f t="shared" si="228"/>
        <v>420332.95579999994</v>
      </c>
      <c r="O657" s="107"/>
      <c r="P657" s="108">
        <f>+'Приложение №2'!E657-'Приложение №1'!R657-'Приложение №1'!S657</f>
        <v>0</v>
      </c>
      <c r="Q657" s="108"/>
      <c r="R657" s="108">
        <v>0</v>
      </c>
      <c r="S657" s="108">
        <f>+'Приложение №2'!E657-'Приложение №1'!R657</f>
        <v>420332.95579999994</v>
      </c>
      <c r="T657" s="108">
        <f>+'Приложение №2'!E657-'Приложение №1'!P657-'Приложение №1'!R657-'Приложение №1'!S657</f>
        <v>0</v>
      </c>
      <c r="U657" s="108">
        <f t="shared" si="213"/>
        <v>912.7751483170465</v>
      </c>
      <c r="V657" s="108">
        <v>1344.2830200640001</v>
      </c>
      <c r="W657" s="135">
        <v>2024</v>
      </c>
      <c r="X657" s="28" t="e">
        <f>+#REF!-'[1]Приложение №1'!$P977</f>
        <v>#REF!</v>
      </c>
      <c r="Z657" s="30">
        <f t="shared" si="227"/>
        <v>6521557.4500000002</v>
      </c>
      <c r="AA657" s="26">
        <v>0</v>
      </c>
      <c r="AB657" s="26">
        <v>875995.49980991997</v>
      </c>
      <c r="AC657" s="26">
        <v>411337.83054587996</v>
      </c>
      <c r="AD657" s="26">
        <v>350714.74954488</v>
      </c>
      <c r="AE657" s="26">
        <v>0</v>
      </c>
      <c r="AF657" s="26"/>
      <c r="AG657" s="26">
        <v>0</v>
      </c>
      <c r="AH657" s="26">
        <v>0</v>
      </c>
      <c r="AI657" s="26">
        <v>4074971.6952377995</v>
      </c>
      <c r="AJ657" s="26">
        <v>0</v>
      </c>
      <c r="AK657" s="26">
        <v>0</v>
      </c>
      <c r="AL657" s="26">
        <v>0</v>
      </c>
      <c r="AM657" s="26">
        <v>618389.92870000005</v>
      </c>
      <c r="AN657" s="31">
        <v>65215.574499999995</v>
      </c>
      <c r="AO657" s="32">
        <v>124932.17166151998</v>
      </c>
      <c r="AP657" s="77">
        <f>+N657-'Приложение №2'!E657</f>
        <v>0</v>
      </c>
      <c r="AQ657" s="28">
        <f>205930.75-R138</f>
        <v>-46971</v>
      </c>
      <c r="AR657" s="1">
        <f t="shared" si="230"/>
        <v>46971</v>
      </c>
      <c r="AS657" s="1">
        <f>+(K657*10+L657*20)*12*30-R138</f>
        <v>1404898.25</v>
      </c>
      <c r="AT657" s="28">
        <f t="shared" si="215"/>
        <v>-984565.29420000012</v>
      </c>
      <c r="AU657" s="28">
        <f>+P657-'[6]Приложение №1'!$P624</f>
        <v>0</v>
      </c>
      <c r="AV657" s="28">
        <f>+Q657-'[6]Приложение №1'!$Q624</f>
        <v>0</v>
      </c>
      <c r="AW657" s="28">
        <f>+R657-'[6]Приложение №1'!$R624</f>
        <v>0</v>
      </c>
      <c r="AX657" s="28">
        <f>+S657-'[6]Приложение №1'!$S624</f>
        <v>0</v>
      </c>
      <c r="AY657" s="28">
        <f>+T657-'[6]Приложение №1'!$T624</f>
        <v>0</v>
      </c>
    </row>
    <row r="658" spans="1:51" x14ac:dyDescent="0.25">
      <c r="A658" s="139">
        <f t="shared" si="218"/>
        <v>639</v>
      </c>
      <c r="B658" s="140">
        <f t="shared" si="219"/>
        <v>177</v>
      </c>
      <c r="C658" s="120" t="s">
        <v>52</v>
      </c>
      <c r="D658" s="120" t="s">
        <v>581</v>
      </c>
      <c r="E658" s="121">
        <v>1964</v>
      </c>
      <c r="F658" s="121">
        <v>1964</v>
      </c>
      <c r="G658" s="121" t="s">
        <v>43</v>
      </c>
      <c r="H658" s="121">
        <v>2</v>
      </c>
      <c r="I658" s="121">
        <v>2</v>
      </c>
      <c r="J658" s="107">
        <v>660.09</v>
      </c>
      <c r="K658" s="107">
        <v>608.58000000000004</v>
      </c>
      <c r="L658" s="107">
        <v>0</v>
      </c>
      <c r="M658" s="122">
        <v>32</v>
      </c>
      <c r="N658" s="123">
        <f t="shared" si="228"/>
        <v>522546.69680000003</v>
      </c>
      <c r="O658" s="107"/>
      <c r="P658" s="108"/>
      <c r="Q658" s="108"/>
      <c r="R658" s="108">
        <f t="shared" ref="R658:R665" si="231">+AQ658+AR658</f>
        <v>380233.89</v>
      </c>
      <c r="S658" s="108">
        <f>+'Приложение №2'!E658-'Приложение №1'!R658</f>
        <v>142312.80680000002</v>
      </c>
      <c r="T658" s="108">
        <v>0</v>
      </c>
      <c r="U658" s="108">
        <f t="shared" si="213"/>
        <v>858.63271352985635</v>
      </c>
      <c r="V658" s="108">
        <v>1345.2830200640001</v>
      </c>
      <c r="W658" s="135">
        <v>2024</v>
      </c>
      <c r="X658" s="28" t="e">
        <f>+#REF!-'[1]Приложение №1'!$P738</f>
        <v>#REF!</v>
      </c>
      <c r="Z658" s="30">
        <f t="shared" si="227"/>
        <v>4551398.5399999991</v>
      </c>
      <c r="AA658" s="26">
        <v>1783504.6065618601</v>
      </c>
      <c r="AB658" s="26">
        <v>1085237.2512912001</v>
      </c>
      <c r="AC658" s="26">
        <v>511364.19748848001</v>
      </c>
      <c r="AD658" s="26">
        <v>435798.11897832004</v>
      </c>
      <c r="AE658" s="26">
        <v>0</v>
      </c>
      <c r="AF658" s="26"/>
      <c r="AG658" s="26">
        <v>189558.68370852002</v>
      </c>
      <c r="AH658" s="26">
        <v>0</v>
      </c>
      <c r="AI658" s="26">
        <v>0</v>
      </c>
      <c r="AJ658" s="26">
        <v>0</v>
      </c>
      <c r="AK658" s="26">
        <v>0</v>
      </c>
      <c r="AL658" s="26">
        <v>0</v>
      </c>
      <c r="AM658" s="26">
        <v>412830.33630000002</v>
      </c>
      <c r="AN658" s="31">
        <v>45513.985399999998</v>
      </c>
      <c r="AO658" s="32">
        <v>87591.360271620011</v>
      </c>
      <c r="AP658" s="77">
        <f>+N658-'Приложение №2'!E658</f>
        <v>0</v>
      </c>
      <c r="AQ658" s="1">
        <v>318158.73</v>
      </c>
      <c r="AR658" s="1">
        <f t="shared" si="230"/>
        <v>62075.16</v>
      </c>
      <c r="AS658" s="1">
        <f>+(K658*10+L658*20)*12*30</f>
        <v>2190888</v>
      </c>
      <c r="AT658" s="28">
        <f t="shared" si="215"/>
        <v>-2048575.1932000001</v>
      </c>
      <c r="AU658" s="28">
        <f>+P658-'[6]Приложение №1'!$P625</f>
        <v>0</v>
      </c>
      <c r="AV658" s="28">
        <f>+Q658-'[6]Приложение №1'!$Q625</f>
        <v>0</v>
      </c>
      <c r="AW658" s="28">
        <f>+R658-'[6]Приложение №1'!$R625</f>
        <v>0</v>
      </c>
      <c r="AX658" s="28">
        <f>+S658-'[6]Приложение №1'!$S625</f>
        <v>0</v>
      </c>
      <c r="AY658" s="28">
        <f>+T658-'[6]Приложение №1'!$T625</f>
        <v>0</v>
      </c>
    </row>
    <row r="659" spans="1:51" x14ac:dyDescent="0.25">
      <c r="A659" s="139">
        <f t="shared" si="218"/>
        <v>640</v>
      </c>
      <c r="B659" s="140">
        <f t="shared" si="219"/>
        <v>178</v>
      </c>
      <c r="C659" s="120" t="s">
        <v>63</v>
      </c>
      <c r="D659" s="120" t="s">
        <v>570</v>
      </c>
      <c r="E659" s="121">
        <v>1981</v>
      </c>
      <c r="F659" s="121">
        <v>2010</v>
      </c>
      <c r="G659" s="121" t="s">
        <v>43</v>
      </c>
      <c r="H659" s="121">
        <v>2</v>
      </c>
      <c r="I659" s="121">
        <v>2</v>
      </c>
      <c r="J659" s="107">
        <v>774.6</v>
      </c>
      <c r="K659" s="107">
        <v>714.53</v>
      </c>
      <c r="L659" s="107">
        <v>0</v>
      </c>
      <c r="M659" s="122">
        <v>28</v>
      </c>
      <c r="N659" s="123">
        <f t="shared" si="228"/>
        <v>3497618.6288999999</v>
      </c>
      <c r="O659" s="107"/>
      <c r="P659" s="108">
        <f>+'Приложение №2'!E659-'Приложение №1'!R659-'Приложение №1'!S659</f>
        <v>503219.86890000058</v>
      </c>
      <c r="Q659" s="108"/>
      <c r="R659" s="108">
        <f t="shared" si="231"/>
        <v>422090.76</v>
      </c>
      <c r="S659" s="108">
        <f>+AS659</f>
        <v>2572307.9999999995</v>
      </c>
      <c r="T659" s="108">
        <v>0</v>
      </c>
      <c r="U659" s="108">
        <f t="shared" si="213"/>
        <v>4894.9919931983259</v>
      </c>
      <c r="V659" s="108">
        <v>1346.2830200640001</v>
      </c>
      <c r="W659" s="135">
        <v>2024</v>
      </c>
      <c r="X659" s="28" t="e">
        <f>+#REF!-'[1]Приложение №1'!$P741</f>
        <v>#REF!</v>
      </c>
      <c r="Z659" s="30">
        <f t="shared" si="227"/>
        <v>3874188.8000000003</v>
      </c>
      <c r="AA659" s="26">
        <v>2090429.3526916802</v>
      </c>
      <c r="AB659" s="26">
        <v>0</v>
      </c>
      <c r="AC659" s="26">
        <v>599365.27642445988</v>
      </c>
      <c r="AD659" s="26">
        <v>510794.96876771998</v>
      </c>
      <c r="AE659" s="26">
        <v>0</v>
      </c>
      <c r="AF659" s="26"/>
      <c r="AG659" s="26">
        <v>222179.99235767999</v>
      </c>
      <c r="AH659" s="26">
        <v>0</v>
      </c>
      <c r="AI659" s="26">
        <v>0</v>
      </c>
      <c r="AJ659" s="26">
        <v>0</v>
      </c>
      <c r="AK659" s="26">
        <v>0</v>
      </c>
      <c r="AL659" s="26">
        <v>0</v>
      </c>
      <c r="AM659" s="26">
        <v>337828.28310000006</v>
      </c>
      <c r="AN659" s="31">
        <v>38741.887999999999</v>
      </c>
      <c r="AO659" s="32">
        <v>74849.038658460006</v>
      </c>
      <c r="AP659" s="77">
        <f>+N659-'Приложение №2'!E659</f>
        <v>0</v>
      </c>
      <c r="AQ659" s="1">
        <v>349208.7</v>
      </c>
      <c r="AR659" s="1">
        <f t="shared" si="230"/>
        <v>72882.06</v>
      </c>
      <c r="AS659" s="1">
        <f>+(K659*10+L659*20)*12*30</f>
        <v>2572307.9999999995</v>
      </c>
      <c r="AT659" s="28">
        <f t="shared" si="215"/>
        <v>0</v>
      </c>
      <c r="AU659" s="28">
        <f>+P659-'[6]Приложение №1'!$P626</f>
        <v>0</v>
      </c>
      <c r="AV659" s="28">
        <f>+Q659-'[6]Приложение №1'!$Q626</f>
        <v>0</v>
      </c>
      <c r="AW659" s="28">
        <f>+R659-'[6]Приложение №1'!$R626</f>
        <v>0</v>
      </c>
      <c r="AX659" s="28">
        <f>+S659-'[6]Приложение №1'!$S626</f>
        <v>0</v>
      </c>
      <c r="AY659" s="28">
        <f>+T659-'[6]Приложение №1'!$T626</f>
        <v>0</v>
      </c>
    </row>
    <row r="660" spans="1:51" x14ac:dyDescent="0.25">
      <c r="A660" s="139">
        <f t="shared" si="218"/>
        <v>641</v>
      </c>
      <c r="B660" s="140">
        <f t="shared" si="219"/>
        <v>179</v>
      </c>
      <c r="C660" s="120" t="s">
        <v>63</v>
      </c>
      <c r="D660" s="120" t="s">
        <v>566</v>
      </c>
      <c r="E660" s="121">
        <v>1983</v>
      </c>
      <c r="F660" s="121">
        <v>1983</v>
      </c>
      <c r="G660" s="121" t="s">
        <v>43</v>
      </c>
      <c r="H660" s="121">
        <v>2</v>
      </c>
      <c r="I660" s="121">
        <v>2</v>
      </c>
      <c r="J660" s="107">
        <v>910.77</v>
      </c>
      <c r="K660" s="107">
        <v>841.26</v>
      </c>
      <c r="L660" s="107">
        <v>0</v>
      </c>
      <c r="M660" s="122">
        <v>34</v>
      </c>
      <c r="N660" s="123">
        <f t="shared" si="228"/>
        <v>722841.11670000001</v>
      </c>
      <c r="O660" s="107"/>
      <c r="P660" s="108">
        <v>299229.82999999996</v>
      </c>
      <c r="Q660" s="108"/>
      <c r="R660" s="108">
        <f t="shared" si="231"/>
        <v>73388.679999999978</v>
      </c>
      <c r="S660" s="108">
        <f>+'Приложение №2'!E660-'Приложение №1'!P660-R660</f>
        <v>350222.60670000006</v>
      </c>
      <c r="T660" s="108">
        <f>+'Приложение №2'!E660-'Приложение №1'!P660-'Приложение №1'!Q660-'Приложение №1'!R660-'Приложение №1'!S660</f>
        <v>0</v>
      </c>
      <c r="U660" s="108">
        <f t="shared" si="213"/>
        <v>859.23628450181877</v>
      </c>
      <c r="V660" s="108">
        <v>1347.2830200640001</v>
      </c>
      <c r="W660" s="135">
        <v>2024</v>
      </c>
      <c r="X660" s="28" t="e">
        <f>+#REF!-'[1]Приложение №1'!$P1219</f>
        <v>#REF!</v>
      </c>
      <c r="Z660" s="30">
        <f t="shared" si="227"/>
        <v>6295969.4100000001</v>
      </c>
      <c r="AA660" s="26">
        <v>2467129.6784152202</v>
      </c>
      <c r="AB660" s="26">
        <v>1501213.4170404002</v>
      </c>
      <c r="AC660" s="26">
        <v>707372.31680261996</v>
      </c>
      <c r="AD660" s="26">
        <v>602841.43419444002</v>
      </c>
      <c r="AE660" s="26">
        <v>0</v>
      </c>
      <c r="AF660" s="26"/>
      <c r="AG660" s="26">
        <v>262217.35903776006</v>
      </c>
      <c r="AH660" s="26">
        <v>0</v>
      </c>
      <c r="AI660" s="26">
        <v>0</v>
      </c>
      <c r="AJ660" s="26">
        <v>0</v>
      </c>
      <c r="AK660" s="26">
        <v>0</v>
      </c>
      <c r="AL660" s="26">
        <v>0</v>
      </c>
      <c r="AM660" s="26">
        <v>571070.00050000008</v>
      </c>
      <c r="AN660" s="31">
        <v>62959.694100000001</v>
      </c>
      <c r="AO660" s="32">
        <v>121165.50990956002</v>
      </c>
      <c r="AP660" s="77">
        <f>+N660-'Приложение №2'!E660</f>
        <v>0</v>
      </c>
      <c r="AQ660" s="28">
        <f>380898.3-R139</f>
        <v>-12419.840000000026</v>
      </c>
      <c r="AR660" s="1">
        <f t="shared" si="230"/>
        <v>85808.52</v>
      </c>
      <c r="AS660" s="1">
        <f>+(K660*10+L660*20)*12*30-S139</f>
        <v>2246392.0881529804</v>
      </c>
      <c r="AT660" s="28">
        <f t="shared" si="215"/>
        <v>-1896169.4814529803</v>
      </c>
      <c r="AU660" s="28">
        <f>+P660-'[6]Приложение №1'!$P627</f>
        <v>0</v>
      </c>
      <c r="AV660" s="28">
        <f>+Q660-'[6]Приложение №1'!$Q627</f>
        <v>0</v>
      </c>
      <c r="AW660" s="28">
        <f>+R660-'[6]Приложение №1'!$R627</f>
        <v>0</v>
      </c>
      <c r="AX660" s="28">
        <f>+S660-'[6]Приложение №1'!$S627</f>
        <v>0</v>
      </c>
      <c r="AY660" s="28">
        <f>+T660-'[6]Приложение №1'!$T627</f>
        <v>0</v>
      </c>
    </row>
    <row r="661" spans="1:51" x14ac:dyDescent="0.25">
      <c r="A661" s="139">
        <f t="shared" si="218"/>
        <v>642</v>
      </c>
      <c r="B661" s="140">
        <f t="shared" si="219"/>
        <v>180</v>
      </c>
      <c r="C661" s="120" t="s">
        <v>53</v>
      </c>
      <c r="D661" s="120" t="s">
        <v>582</v>
      </c>
      <c r="E661" s="121">
        <v>1984</v>
      </c>
      <c r="F661" s="121">
        <v>1984</v>
      </c>
      <c r="G661" s="121" t="s">
        <v>43</v>
      </c>
      <c r="H661" s="121">
        <v>2</v>
      </c>
      <c r="I661" s="121">
        <v>2</v>
      </c>
      <c r="J661" s="107">
        <v>638.79999999999995</v>
      </c>
      <c r="K661" s="107">
        <v>591.79999999999995</v>
      </c>
      <c r="L661" s="107">
        <v>0</v>
      </c>
      <c r="M661" s="122">
        <v>27</v>
      </c>
      <c r="N661" s="123">
        <f t="shared" si="228"/>
        <v>3973408.8198000016</v>
      </c>
      <c r="O661" s="107"/>
      <c r="P661" s="108">
        <v>508425.41750000021</v>
      </c>
      <c r="Q661" s="108"/>
      <c r="R661" s="108">
        <f t="shared" si="231"/>
        <v>254173.46</v>
      </c>
      <c r="S661" s="108">
        <f>+AS661</f>
        <v>2130480</v>
      </c>
      <c r="T661" s="108">
        <f>+'Приложение №2'!E661-'Приложение №1'!P661-'Приложение №1'!R661-'Приложение №1'!S661</f>
        <v>1080329.9423000012</v>
      </c>
      <c r="U661" s="108">
        <f t="shared" si="213"/>
        <v>6714.1075021966908</v>
      </c>
      <c r="V661" s="108">
        <v>1348.2830200640001</v>
      </c>
      <c r="W661" s="135">
        <v>2024</v>
      </c>
      <c r="X661" s="28" t="e">
        <f>+#REF!-'[1]Приложение №1'!$P743</f>
        <v>#REF!</v>
      </c>
      <c r="Z661" s="30">
        <f t="shared" si="227"/>
        <v>4418355.1300000008</v>
      </c>
      <c r="AA661" s="26">
        <v>1731370.4004597</v>
      </c>
      <c r="AB661" s="26">
        <v>1053514.3282679403</v>
      </c>
      <c r="AC661" s="26">
        <v>496416.34494900005</v>
      </c>
      <c r="AD661" s="26">
        <v>423059.16646896006</v>
      </c>
      <c r="AE661" s="26">
        <v>0</v>
      </c>
      <c r="AF661" s="26"/>
      <c r="AG661" s="26">
        <v>184017.63091067999</v>
      </c>
      <c r="AH661" s="26">
        <v>0</v>
      </c>
      <c r="AI661" s="26">
        <v>0</v>
      </c>
      <c r="AJ661" s="26">
        <v>0</v>
      </c>
      <c r="AK661" s="26">
        <v>0</v>
      </c>
      <c r="AL661" s="26">
        <v>0</v>
      </c>
      <c r="AM661" s="26">
        <v>400762.75890000002</v>
      </c>
      <c r="AN661" s="31">
        <v>44183.551299999999</v>
      </c>
      <c r="AO661" s="32">
        <v>85030.948743720015</v>
      </c>
      <c r="AP661" s="77">
        <f>+N661-'Приложение №2'!E661</f>
        <v>0</v>
      </c>
      <c r="AQ661" s="1">
        <v>193809.86</v>
      </c>
      <c r="AR661" s="1">
        <f t="shared" si="230"/>
        <v>60363.6</v>
      </c>
      <c r="AS661" s="1">
        <f>+(K661*10+L661*20)*12*30</f>
        <v>2130480</v>
      </c>
      <c r="AT661" s="28">
        <f t="shared" si="215"/>
        <v>0</v>
      </c>
      <c r="AU661" s="28">
        <f>+P661-'[6]Приложение №1'!$P628</f>
        <v>0</v>
      </c>
      <c r="AV661" s="28">
        <f>+Q661-'[6]Приложение №1'!$Q628</f>
        <v>0</v>
      </c>
      <c r="AW661" s="28">
        <f>+R661-'[6]Приложение №1'!$R628</f>
        <v>0</v>
      </c>
      <c r="AX661" s="28">
        <f>+S661-'[6]Приложение №1'!$S628</f>
        <v>0</v>
      </c>
      <c r="AY661" s="28">
        <f>+T661-'[6]Приложение №1'!$T628</f>
        <v>0</v>
      </c>
    </row>
    <row r="662" spans="1:51" x14ac:dyDescent="0.25">
      <c r="A662" s="139">
        <f t="shared" si="218"/>
        <v>643</v>
      </c>
      <c r="B662" s="140">
        <f t="shared" si="219"/>
        <v>181</v>
      </c>
      <c r="C662" s="120" t="s">
        <v>54</v>
      </c>
      <c r="D662" s="120" t="s">
        <v>163</v>
      </c>
      <c r="E662" s="121">
        <v>1961</v>
      </c>
      <c r="F662" s="121">
        <v>2009</v>
      </c>
      <c r="G662" s="121" t="s">
        <v>43</v>
      </c>
      <c r="H662" s="121">
        <v>2</v>
      </c>
      <c r="I662" s="121">
        <v>2</v>
      </c>
      <c r="J662" s="107">
        <v>1068.6199999999999</v>
      </c>
      <c r="K662" s="107">
        <v>637.97</v>
      </c>
      <c r="L662" s="107">
        <v>254.2</v>
      </c>
      <c r="M662" s="122">
        <v>27</v>
      </c>
      <c r="N662" s="123">
        <f t="shared" si="228"/>
        <v>546650.25530000008</v>
      </c>
      <c r="O662" s="107"/>
      <c r="P662" s="108"/>
      <c r="Q662" s="108"/>
      <c r="R662" s="108">
        <f t="shared" si="231"/>
        <v>91300.090000000055</v>
      </c>
      <c r="S662" s="108">
        <f>+'Приложение №2'!E662-'Приложение №1'!R662</f>
        <v>455350.16529999999</v>
      </c>
      <c r="T662" s="108">
        <v>0</v>
      </c>
      <c r="U662" s="108">
        <f t="shared" si="213"/>
        <v>856.85887314450531</v>
      </c>
      <c r="V662" s="108">
        <v>1349.2830200640001</v>
      </c>
      <c r="W662" s="135">
        <v>2024</v>
      </c>
      <c r="X662" s="28" t="e">
        <f>+#REF!-'[1]Приложение №1'!$P744</f>
        <v>#REF!</v>
      </c>
      <c r="Z662" s="30">
        <f t="shared" si="227"/>
        <v>614213.77</v>
      </c>
      <c r="AA662" s="26">
        <v>0</v>
      </c>
      <c r="AB662" s="26">
        <v>0</v>
      </c>
      <c r="AC662" s="26">
        <v>534951.93983658007</v>
      </c>
      <c r="AD662" s="26">
        <v>0</v>
      </c>
      <c r="AE662" s="26">
        <v>0</v>
      </c>
      <c r="AF662" s="26"/>
      <c r="AG662" s="26">
        <v>0</v>
      </c>
      <c r="AH662" s="26">
        <v>0</v>
      </c>
      <c r="AI662" s="26">
        <v>0</v>
      </c>
      <c r="AJ662" s="26">
        <v>0</v>
      </c>
      <c r="AK662" s="26">
        <v>0</v>
      </c>
      <c r="AL662" s="26">
        <v>0</v>
      </c>
      <c r="AM662" s="26">
        <v>61421.377000000008</v>
      </c>
      <c r="AN662" s="31">
        <v>6142.1377000000002</v>
      </c>
      <c r="AO662" s="32">
        <v>11698.315463420002</v>
      </c>
      <c r="AP662" s="77">
        <f>+N662-'Приложение №2'!E662</f>
        <v>0</v>
      </c>
      <c r="AQ662" s="1">
        <f>262822.65-288452.3</f>
        <v>-25629.649999999965</v>
      </c>
      <c r="AR662" s="1">
        <f t="shared" si="230"/>
        <v>116929.74000000002</v>
      </c>
      <c r="AS662" s="1">
        <f>+(K662*10+L662*20)*12*30-886844.04</f>
        <v>3240087.9600000009</v>
      </c>
      <c r="AT662" s="28">
        <f t="shared" si="215"/>
        <v>-2784737.7947000009</v>
      </c>
      <c r="AU662" s="28">
        <f>+P662-'[6]Приложение №1'!$P629</f>
        <v>0</v>
      </c>
      <c r="AV662" s="28">
        <f>+Q662-'[6]Приложение №1'!$Q629</f>
        <v>0</v>
      </c>
      <c r="AW662" s="28">
        <f>+R662-'[6]Приложение №1'!$R629</f>
        <v>0</v>
      </c>
      <c r="AX662" s="28">
        <f>+S662-'[6]Приложение №1'!$S629</f>
        <v>0</v>
      </c>
      <c r="AY662" s="28">
        <f>+T662-'[6]Приложение №1'!$T629</f>
        <v>0</v>
      </c>
    </row>
    <row r="663" spans="1:51" x14ac:dyDescent="0.25">
      <c r="A663" s="139">
        <f t="shared" si="218"/>
        <v>644</v>
      </c>
      <c r="B663" s="140">
        <f t="shared" si="219"/>
        <v>182</v>
      </c>
      <c r="C663" s="120" t="s">
        <v>54</v>
      </c>
      <c r="D663" s="120" t="s">
        <v>164</v>
      </c>
      <c r="E663" s="121">
        <v>1964</v>
      </c>
      <c r="F663" s="121">
        <v>2009</v>
      </c>
      <c r="G663" s="121" t="s">
        <v>43</v>
      </c>
      <c r="H663" s="121">
        <v>2</v>
      </c>
      <c r="I663" s="121">
        <v>2</v>
      </c>
      <c r="J663" s="107">
        <v>814.22</v>
      </c>
      <c r="K663" s="107">
        <v>596</v>
      </c>
      <c r="L663" s="107">
        <v>218.22</v>
      </c>
      <c r="M663" s="122">
        <v>18</v>
      </c>
      <c r="N663" s="123">
        <f t="shared" si="228"/>
        <v>510906.35119999998</v>
      </c>
      <c r="O663" s="107"/>
      <c r="P663" s="108"/>
      <c r="Q663" s="108"/>
      <c r="R663" s="108">
        <f t="shared" si="231"/>
        <v>87262.269999999975</v>
      </c>
      <c r="S663" s="108">
        <f>+'Приложение №2'!E663-'Приложение №1'!R663</f>
        <v>423644.08120000002</v>
      </c>
      <c r="T663" s="108">
        <v>0</v>
      </c>
      <c r="U663" s="108">
        <f t="shared" si="213"/>
        <v>857.22542147651006</v>
      </c>
      <c r="V663" s="108">
        <v>1350.2830200640001</v>
      </c>
      <c r="W663" s="135">
        <v>2024</v>
      </c>
      <c r="X663" s="28" t="e">
        <f>+#REF!-'[1]Приложение №1'!$P745</f>
        <v>#REF!</v>
      </c>
      <c r="Z663" s="30">
        <f t="shared" si="227"/>
        <v>574052.08000000007</v>
      </c>
      <c r="AA663" s="26">
        <v>0</v>
      </c>
      <c r="AB663" s="26">
        <v>0</v>
      </c>
      <c r="AC663" s="26">
        <v>499972.95528431999</v>
      </c>
      <c r="AD663" s="26">
        <v>0</v>
      </c>
      <c r="AE663" s="26">
        <v>0</v>
      </c>
      <c r="AF663" s="26"/>
      <c r="AG663" s="26">
        <v>0</v>
      </c>
      <c r="AH663" s="26">
        <v>0</v>
      </c>
      <c r="AI663" s="26">
        <v>0</v>
      </c>
      <c r="AJ663" s="26">
        <v>0</v>
      </c>
      <c r="AK663" s="26">
        <v>0</v>
      </c>
      <c r="AL663" s="26">
        <v>0</v>
      </c>
      <c r="AM663" s="26">
        <v>57405.207999999999</v>
      </c>
      <c r="AN663" s="31">
        <v>5740.5207999999993</v>
      </c>
      <c r="AO663" s="32">
        <v>10933.395915679999</v>
      </c>
      <c r="AP663" s="77">
        <f>+N663-'Приложение №2'!E663</f>
        <v>0</v>
      </c>
      <c r="AQ663" s="1">
        <f>259230.15-277276.76</f>
        <v>-18046.610000000015</v>
      </c>
      <c r="AR663" s="1">
        <f t="shared" si="230"/>
        <v>105308.87999999999</v>
      </c>
      <c r="AS663" s="1">
        <f>+(K663*10+L663*20)*12*30-756724.06</f>
        <v>2960059.9399999995</v>
      </c>
      <c r="AT663" s="28">
        <f t="shared" si="215"/>
        <v>-2536415.8587999996</v>
      </c>
      <c r="AU663" s="28">
        <f>+P663-'[6]Приложение №1'!$P630</f>
        <v>0</v>
      </c>
      <c r="AV663" s="28">
        <f>+Q663-'[6]Приложение №1'!$Q630</f>
        <v>0</v>
      </c>
      <c r="AW663" s="28">
        <f>+R663-'[6]Приложение №1'!$R630</f>
        <v>0</v>
      </c>
      <c r="AX663" s="28">
        <f>+S663-'[6]Приложение №1'!$S630</f>
        <v>0</v>
      </c>
      <c r="AY663" s="28">
        <f>+T663-'[6]Приложение №1'!$T630</f>
        <v>0</v>
      </c>
    </row>
    <row r="664" spans="1:51" x14ac:dyDescent="0.25">
      <c r="A664" s="139">
        <f t="shared" si="218"/>
        <v>645</v>
      </c>
      <c r="B664" s="140">
        <f t="shared" si="219"/>
        <v>183</v>
      </c>
      <c r="C664" s="120" t="s">
        <v>54</v>
      </c>
      <c r="D664" s="120" t="s">
        <v>578</v>
      </c>
      <c r="E664" s="121">
        <v>1969</v>
      </c>
      <c r="F664" s="121">
        <v>1969</v>
      </c>
      <c r="G664" s="121" t="s">
        <v>43</v>
      </c>
      <c r="H664" s="121">
        <v>2</v>
      </c>
      <c r="I664" s="121">
        <v>2</v>
      </c>
      <c r="J664" s="107">
        <v>842.59</v>
      </c>
      <c r="K664" s="107">
        <v>626.4</v>
      </c>
      <c r="L664" s="107">
        <v>216.19</v>
      </c>
      <c r="M664" s="122">
        <v>29</v>
      </c>
      <c r="N664" s="123">
        <f t="shared" si="228"/>
        <v>536929.96900000004</v>
      </c>
      <c r="O664" s="107"/>
      <c r="P664" s="108"/>
      <c r="Q664" s="108"/>
      <c r="R664" s="108">
        <f t="shared" si="231"/>
        <v>119974.64999999995</v>
      </c>
      <c r="S664" s="108">
        <f>+'Приложение №2'!E664-'Приложение №1'!R664</f>
        <v>416955.31900000008</v>
      </c>
      <c r="T664" s="108">
        <v>0</v>
      </c>
      <c r="U664" s="108">
        <f t="shared" ref="U664:U727" si="232">N664/K664</f>
        <v>857.16789431673067</v>
      </c>
      <c r="V664" s="108">
        <v>1351.2830200640001</v>
      </c>
      <c r="W664" s="135">
        <v>2024</v>
      </c>
      <c r="X664" s="28">
        <f>+S664-'[1]Приложение №1'!$P749</f>
        <v>-186336.7809999999</v>
      </c>
      <c r="Z664" s="30">
        <f t="shared" si="227"/>
        <v>603292.1</v>
      </c>
      <c r="AA664" s="26">
        <v>0</v>
      </c>
      <c r="AB664" s="26">
        <v>0</v>
      </c>
      <c r="AC664" s="26">
        <v>525439.66766340006</v>
      </c>
      <c r="AD664" s="26">
        <v>0</v>
      </c>
      <c r="AE664" s="26">
        <v>0</v>
      </c>
      <c r="AF664" s="26"/>
      <c r="AG664" s="26">
        <v>0</v>
      </c>
      <c r="AH664" s="26">
        <v>0</v>
      </c>
      <c r="AI664" s="26">
        <v>0</v>
      </c>
      <c r="AJ664" s="26">
        <v>0</v>
      </c>
      <c r="AK664" s="26">
        <v>0</v>
      </c>
      <c r="AL664" s="26">
        <v>0</v>
      </c>
      <c r="AM664" s="26">
        <v>60329.21</v>
      </c>
      <c r="AN664" s="31">
        <v>6032.9210000000003</v>
      </c>
      <c r="AO664" s="32">
        <v>11490.301336600001</v>
      </c>
      <c r="AP664" s="77">
        <f>+N664-'Приложение №2'!E664</f>
        <v>0</v>
      </c>
      <c r="AQ664" s="1">
        <f>308865.66-296886.57</f>
        <v>11979.089999999967</v>
      </c>
      <c r="AR664" s="1">
        <f t="shared" si="230"/>
        <v>107995.55999999998</v>
      </c>
      <c r="AS664" s="1">
        <f>+(K664*10+L664*20)*12*30-514905.43</f>
        <v>3296702.5699999994</v>
      </c>
      <c r="AT664" s="28">
        <f t="shared" si="215"/>
        <v>-2879747.2509999992</v>
      </c>
      <c r="AU664" s="28">
        <f>+P664-'[6]Приложение №1'!$P631</f>
        <v>0</v>
      </c>
      <c r="AV664" s="28">
        <f>+Q664-'[6]Приложение №1'!$Q631</f>
        <v>0</v>
      </c>
      <c r="AW664" s="28">
        <f>+R664-'[6]Приложение №1'!$R631</f>
        <v>0</v>
      </c>
      <c r="AX664" s="28">
        <f>+S664-'[6]Приложение №1'!$S631</f>
        <v>0</v>
      </c>
      <c r="AY664" s="28">
        <f>+T664-'[6]Приложение №1'!$T631</f>
        <v>0</v>
      </c>
    </row>
    <row r="665" spans="1:51" x14ac:dyDescent="0.25">
      <c r="A665" s="139">
        <f t="shared" si="218"/>
        <v>646</v>
      </c>
      <c r="B665" s="140">
        <f t="shared" si="219"/>
        <v>184</v>
      </c>
      <c r="C665" s="120" t="s">
        <v>54</v>
      </c>
      <c r="D665" s="120" t="s">
        <v>579</v>
      </c>
      <c r="E665" s="121">
        <v>1963</v>
      </c>
      <c r="F665" s="121">
        <v>2008</v>
      </c>
      <c r="G665" s="121" t="s">
        <v>43</v>
      </c>
      <c r="H665" s="121">
        <v>2</v>
      </c>
      <c r="I665" s="121">
        <v>2</v>
      </c>
      <c r="J665" s="107">
        <v>815.23</v>
      </c>
      <c r="K665" s="107">
        <v>621.87</v>
      </c>
      <c r="L665" s="107">
        <v>0</v>
      </c>
      <c r="M665" s="122">
        <v>50</v>
      </c>
      <c r="N665" s="123">
        <f t="shared" si="228"/>
        <v>1607331.6175056943</v>
      </c>
      <c r="O665" s="107"/>
      <c r="P665" s="108"/>
      <c r="Q665" s="108"/>
      <c r="R665" s="108">
        <f t="shared" si="231"/>
        <v>306089.34999999998</v>
      </c>
      <c r="S665" s="108">
        <f>+'Приложение №2'!E665-'Приложение №1'!R665</f>
        <v>1301242.2675056942</v>
      </c>
      <c r="T665" s="108">
        <v>0</v>
      </c>
      <c r="U665" s="108">
        <f t="shared" si="232"/>
        <v>2584.6746385992155</v>
      </c>
      <c r="V665" s="108">
        <v>1352.2830200640001</v>
      </c>
      <c r="W665" s="135">
        <v>2024</v>
      </c>
      <c r="X665" s="28" t="e">
        <f>+#REF!-'[1]Приложение №1'!$P750</f>
        <v>#REF!</v>
      </c>
      <c r="Z665" s="30">
        <f t="shared" si="227"/>
        <v>2343434.8514670716</v>
      </c>
      <c r="AA665" s="26">
        <v>0</v>
      </c>
      <c r="AB665" s="26">
        <v>0</v>
      </c>
      <c r="AC665" s="26">
        <v>468089.23673358001</v>
      </c>
      <c r="AD665" s="26">
        <v>0</v>
      </c>
      <c r="AE665" s="26">
        <v>0</v>
      </c>
      <c r="AF665" s="26"/>
      <c r="AG665" s="26">
        <v>0</v>
      </c>
      <c r="AH665" s="26">
        <v>0</v>
      </c>
      <c r="AI665" s="26">
        <v>0</v>
      </c>
      <c r="AJ665" s="26">
        <v>0</v>
      </c>
      <c r="AK665" s="26">
        <v>0</v>
      </c>
      <c r="AL665" s="26">
        <v>1572934.7208910722</v>
      </c>
      <c r="AM665" s="26">
        <v>234343.48514670721</v>
      </c>
      <c r="AN665" s="31">
        <v>23434.348514670721</v>
      </c>
      <c r="AO665" s="32">
        <v>44633.060181041852</v>
      </c>
      <c r="AP665" s="77">
        <f>+N665-'Приложение №2'!E665</f>
        <v>0</v>
      </c>
      <c r="AQ665" s="1">
        <v>242658.61</v>
      </c>
      <c r="AR665" s="1">
        <f t="shared" si="230"/>
        <v>63430.739999999991</v>
      </c>
      <c r="AS665" s="1">
        <f>+(K665*10+L665*20)*12*30</f>
        <v>2238732</v>
      </c>
      <c r="AT665" s="28">
        <f t="shared" si="215"/>
        <v>-937489.73249430582</v>
      </c>
      <c r="AU665" s="28">
        <f>+P665-'[6]Приложение №1'!$P632</f>
        <v>0</v>
      </c>
      <c r="AV665" s="28">
        <f>+Q665-'[6]Приложение №1'!$Q632</f>
        <v>0</v>
      </c>
      <c r="AW665" s="28">
        <f>+R665-'[6]Приложение №1'!$R632</f>
        <v>0</v>
      </c>
      <c r="AX665" s="28">
        <f>+S665-'[6]Приложение №1'!$S632</f>
        <v>0</v>
      </c>
      <c r="AY665" s="28">
        <f>+T665-'[6]Приложение №1'!$T632</f>
        <v>0</v>
      </c>
    </row>
    <row r="666" spans="1:51" x14ac:dyDescent="0.25">
      <c r="A666" s="139">
        <f t="shared" si="218"/>
        <v>647</v>
      </c>
      <c r="B666" s="140">
        <f t="shared" si="219"/>
        <v>185</v>
      </c>
      <c r="C666" s="120" t="s">
        <v>54</v>
      </c>
      <c r="D666" s="120" t="s">
        <v>580</v>
      </c>
      <c r="E666" s="121">
        <v>1971</v>
      </c>
      <c r="F666" s="121">
        <v>2009</v>
      </c>
      <c r="G666" s="121" t="s">
        <v>43</v>
      </c>
      <c r="H666" s="121">
        <v>4</v>
      </c>
      <c r="I666" s="121">
        <v>4</v>
      </c>
      <c r="J666" s="107">
        <v>3316.04</v>
      </c>
      <c r="K666" s="107">
        <v>2384.75</v>
      </c>
      <c r="L666" s="107">
        <v>776.54</v>
      </c>
      <c r="M666" s="122">
        <v>114</v>
      </c>
      <c r="N666" s="123">
        <f t="shared" si="228"/>
        <v>1011727.4448999999</v>
      </c>
      <c r="O666" s="107"/>
      <c r="P666" s="108"/>
      <c r="Q666" s="108"/>
      <c r="R666" s="108">
        <f>+'Приложение №2'!E666</f>
        <v>1011727.4448999999</v>
      </c>
      <c r="S666" s="108">
        <f>+'Приложение №2'!E666-'Приложение №1'!R666</f>
        <v>0</v>
      </c>
      <c r="T666" s="108">
        <v>0</v>
      </c>
      <c r="U666" s="108">
        <f t="shared" si="232"/>
        <v>424.24884994234191</v>
      </c>
      <c r="V666" s="108">
        <v>1353.2830200640001</v>
      </c>
      <c r="W666" s="135">
        <v>2024</v>
      </c>
      <c r="X666" s="28" t="e">
        <f>+#REF!-'[1]Приложение №1'!$P751</f>
        <v>#REF!</v>
      </c>
      <c r="Z666" s="30">
        <f t="shared" si="227"/>
        <v>1136772.4099999997</v>
      </c>
      <c r="AA666" s="26">
        <v>0</v>
      </c>
      <c r="AB666" s="26">
        <v>0</v>
      </c>
      <c r="AC666" s="26">
        <v>990076.47757913987</v>
      </c>
      <c r="AD666" s="26">
        <v>0</v>
      </c>
      <c r="AE666" s="26">
        <v>0</v>
      </c>
      <c r="AF666" s="26"/>
      <c r="AG666" s="26">
        <v>0</v>
      </c>
      <c r="AH666" s="26">
        <v>0</v>
      </c>
      <c r="AI666" s="26">
        <v>0</v>
      </c>
      <c r="AJ666" s="26">
        <v>0</v>
      </c>
      <c r="AK666" s="26">
        <v>0</v>
      </c>
      <c r="AL666" s="26">
        <v>0</v>
      </c>
      <c r="AM666" s="26">
        <v>113677.24099999999</v>
      </c>
      <c r="AN666" s="31">
        <v>11367.724099999999</v>
      </c>
      <c r="AO666" s="32">
        <v>21650.96732086</v>
      </c>
      <c r="AP666" s="77">
        <f>+N666-'Приложение №2'!E666</f>
        <v>0</v>
      </c>
      <c r="AQ666" s="1">
        <v>1090050.46</v>
      </c>
      <c r="AR666" s="1">
        <f t="shared" si="230"/>
        <v>401658.66000000003</v>
      </c>
      <c r="AS666" s="1">
        <f>+(K666*10+L666*20)*12*30</f>
        <v>14176188.000000002</v>
      </c>
      <c r="AT666" s="28">
        <f t="shared" ref="AT666:AT729" si="233">+S666-AS666</f>
        <v>-14176188.000000002</v>
      </c>
      <c r="AU666" s="28">
        <f>+P666-'[6]Приложение №1'!$P633</f>
        <v>0</v>
      </c>
      <c r="AV666" s="28">
        <f>+Q666-'[6]Приложение №1'!$Q633</f>
        <v>0</v>
      </c>
      <c r="AW666" s="28">
        <f>+R666-'[6]Приложение №1'!$R633</f>
        <v>0</v>
      </c>
      <c r="AX666" s="28">
        <f>+S666-'[6]Приложение №1'!$S633</f>
        <v>0</v>
      </c>
      <c r="AY666" s="28">
        <f>+T666-'[6]Приложение №1'!$T633</f>
        <v>0</v>
      </c>
    </row>
    <row r="667" spans="1:51" x14ac:dyDescent="0.25">
      <c r="A667" s="139">
        <f t="shared" si="218"/>
        <v>648</v>
      </c>
      <c r="B667" s="140">
        <f t="shared" si="219"/>
        <v>186</v>
      </c>
      <c r="C667" s="120" t="s">
        <v>54</v>
      </c>
      <c r="D667" s="120" t="s">
        <v>213</v>
      </c>
      <c r="E667" s="121">
        <v>1975</v>
      </c>
      <c r="F667" s="121">
        <v>2008</v>
      </c>
      <c r="G667" s="121" t="s">
        <v>43</v>
      </c>
      <c r="H667" s="121">
        <v>2</v>
      </c>
      <c r="I667" s="121">
        <v>2</v>
      </c>
      <c r="J667" s="107">
        <v>772.26</v>
      </c>
      <c r="K667" s="107">
        <v>695.29</v>
      </c>
      <c r="L667" s="107">
        <v>0</v>
      </c>
      <c r="M667" s="122">
        <v>34</v>
      </c>
      <c r="N667" s="123">
        <f t="shared" si="228"/>
        <v>3172147.2374999998</v>
      </c>
      <c r="O667" s="107"/>
      <c r="P667" s="108">
        <f>+'Приложение №2'!E667-'Приложение №1'!R667-'Приложение №1'!S667</f>
        <v>353690.84750000015</v>
      </c>
      <c r="Q667" s="108"/>
      <c r="R667" s="108">
        <f>+AQ667+AR667</f>
        <v>315412.39</v>
      </c>
      <c r="S667" s="108">
        <f>+AS667</f>
        <v>2503043.9999999995</v>
      </c>
      <c r="T667" s="108">
        <f>+'Приложение №2'!E667-'Приложение №1'!P667-'Приложение №1'!R667-'Приложение №1'!S667</f>
        <v>0</v>
      </c>
      <c r="U667" s="108">
        <f t="shared" si="232"/>
        <v>4562.336920565519</v>
      </c>
      <c r="V667" s="108">
        <v>1354.2830200640001</v>
      </c>
      <c r="W667" s="135">
        <v>2024</v>
      </c>
      <c r="X667" s="28" t="e">
        <f>+#REF!-'[1]Приложение №1'!$P759</f>
        <v>#REF!</v>
      </c>
      <c r="Z667" s="30">
        <f t="shared" si="227"/>
        <v>3527367.4699999997</v>
      </c>
      <c r="AA667" s="26">
        <v>1382229.2362897198</v>
      </c>
      <c r="AB667" s="26">
        <v>841066.88252748002</v>
      </c>
      <c r="AC667" s="26">
        <v>396311.02602629998</v>
      </c>
      <c r="AD667" s="26">
        <v>337746.75668411993</v>
      </c>
      <c r="AE667" s="26">
        <v>0</v>
      </c>
      <c r="AF667" s="26"/>
      <c r="AG667" s="26">
        <v>146909.38508988</v>
      </c>
      <c r="AH667" s="26">
        <v>0</v>
      </c>
      <c r="AI667" s="26">
        <v>0</v>
      </c>
      <c r="AJ667" s="26">
        <v>0</v>
      </c>
      <c r="AK667" s="26">
        <v>0</v>
      </c>
      <c r="AL667" s="26">
        <v>0</v>
      </c>
      <c r="AM667" s="26">
        <v>319946.55780000001</v>
      </c>
      <c r="AN667" s="31">
        <v>35273.674699999996</v>
      </c>
      <c r="AO667" s="32">
        <v>67883.950882499994</v>
      </c>
      <c r="AP667" s="77">
        <f>+N667-'Приложение №2'!E667</f>
        <v>0</v>
      </c>
      <c r="AQ667" s="1">
        <v>244492.81</v>
      </c>
      <c r="AR667" s="1">
        <f t="shared" si="230"/>
        <v>70919.579999999987</v>
      </c>
      <c r="AS667" s="1">
        <f>+(K667*10+L667*20)*12*30</f>
        <v>2503043.9999999995</v>
      </c>
      <c r="AT667" s="28">
        <f t="shared" si="233"/>
        <v>0</v>
      </c>
      <c r="AU667" s="28">
        <f>+P667-'[6]Приложение №1'!$P634</f>
        <v>0</v>
      </c>
      <c r="AV667" s="28">
        <f>+Q667-'[6]Приложение №1'!$Q634</f>
        <v>0</v>
      </c>
      <c r="AW667" s="28">
        <f>+R667-'[6]Приложение №1'!$R634</f>
        <v>0</v>
      </c>
      <c r="AX667" s="28">
        <f>+S667-'[6]Приложение №1'!$S634</f>
        <v>0</v>
      </c>
      <c r="AY667" s="28">
        <f>+T667-'[6]Приложение №1'!$T634</f>
        <v>0</v>
      </c>
    </row>
    <row r="668" spans="1:51" x14ac:dyDescent="0.25">
      <c r="A668" s="139">
        <f t="shared" si="218"/>
        <v>649</v>
      </c>
      <c r="B668" s="140">
        <f t="shared" si="219"/>
        <v>187</v>
      </c>
      <c r="C668" s="120" t="s">
        <v>54</v>
      </c>
      <c r="D668" s="120" t="s">
        <v>165</v>
      </c>
      <c r="E668" s="121">
        <v>1962</v>
      </c>
      <c r="F668" s="121">
        <v>2003</v>
      </c>
      <c r="G668" s="121" t="s">
        <v>43</v>
      </c>
      <c r="H668" s="121">
        <v>2</v>
      </c>
      <c r="I668" s="121">
        <v>2</v>
      </c>
      <c r="J668" s="107">
        <v>1001.33</v>
      </c>
      <c r="K668" s="107">
        <v>596.02</v>
      </c>
      <c r="L668" s="107">
        <v>0</v>
      </c>
      <c r="M668" s="122">
        <v>24</v>
      </c>
      <c r="N668" s="123">
        <f t="shared" si="228"/>
        <v>546007.38159999996</v>
      </c>
      <c r="O668" s="107"/>
      <c r="P668" s="108"/>
      <c r="Q668" s="108"/>
      <c r="R668" s="108">
        <f>+AQ668+AR668</f>
        <v>68416.530000000013</v>
      </c>
      <c r="S668" s="108">
        <f>+'Приложение №2'!E668-'Приложение №1'!R668</f>
        <v>477590.85159999994</v>
      </c>
      <c r="T668" s="108">
        <v>0</v>
      </c>
      <c r="U668" s="108">
        <f t="shared" si="232"/>
        <v>916.08902654273345</v>
      </c>
      <c r="V668" s="108">
        <v>1355.2830200640001</v>
      </c>
      <c r="W668" s="135">
        <v>2024</v>
      </c>
      <c r="X668" s="28" t="e">
        <f>+#REF!-'[1]Приложение №1'!$P766</f>
        <v>#REF!</v>
      </c>
      <c r="Z668" s="30">
        <f t="shared" si="227"/>
        <v>613491.43999999994</v>
      </c>
      <c r="AA668" s="26">
        <v>0</v>
      </c>
      <c r="AB668" s="26">
        <v>0</v>
      </c>
      <c r="AC668" s="26">
        <v>534322.82363375998</v>
      </c>
      <c r="AD668" s="26">
        <v>0</v>
      </c>
      <c r="AE668" s="26">
        <v>0</v>
      </c>
      <c r="AF668" s="26"/>
      <c r="AG668" s="26">
        <v>0</v>
      </c>
      <c r="AH668" s="26">
        <v>0</v>
      </c>
      <c r="AI668" s="26">
        <v>0</v>
      </c>
      <c r="AJ668" s="26">
        <v>0</v>
      </c>
      <c r="AK668" s="26">
        <v>0</v>
      </c>
      <c r="AL668" s="26">
        <v>0</v>
      </c>
      <c r="AM668" s="26">
        <v>61349.144</v>
      </c>
      <c r="AN668" s="31">
        <v>6134.9143999999997</v>
      </c>
      <c r="AO668" s="32">
        <v>11684.55796624</v>
      </c>
      <c r="AP668" s="77">
        <f>+N668-'Приложение №2'!E668</f>
        <v>0</v>
      </c>
      <c r="AQ668" s="1">
        <f>230645.2-223022.71</f>
        <v>7622.4900000000198</v>
      </c>
      <c r="AR668" s="1">
        <f t="shared" si="230"/>
        <v>60794.039999999994</v>
      </c>
      <c r="AS668" s="1">
        <f>+(K668*10+L668*20)*12*30-1056428.77</f>
        <v>1089243.23</v>
      </c>
      <c r="AT668" s="28">
        <f t="shared" si="233"/>
        <v>-611652.37840000005</v>
      </c>
      <c r="AU668" s="28">
        <f>+P668-'[6]Приложение №1'!$P635</f>
        <v>0</v>
      </c>
      <c r="AV668" s="28">
        <f>+Q668-'[6]Приложение №1'!$Q635</f>
        <v>0</v>
      </c>
      <c r="AW668" s="28">
        <f>+R668-'[6]Приложение №1'!$R635</f>
        <v>0</v>
      </c>
      <c r="AX668" s="28">
        <f>+S668-'[6]Приложение №1'!$S635</f>
        <v>0</v>
      </c>
      <c r="AY668" s="28">
        <f>+T668-'[6]Приложение №1'!$T635</f>
        <v>0</v>
      </c>
    </row>
    <row r="669" spans="1:51" x14ac:dyDescent="0.25">
      <c r="A669" s="139">
        <f t="shared" si="218"/>
        <v>650</v>
      </c>
      <c r="B669" s="140">
        <f t="shared" si="219"/>
        <v>188</v>
      </c>
      <c r="C669" s="120" t="s">
        <v>54</v>
      </c>
      <c r="D669" s="120" t="s">
        <v>166</v>
      </c>
      <c r="E669" s="121">
        <v>1962</v>
      </c>
      <c r="F669" s="121">
        <v>2004</v>
      </c>
      <c r="G669" s="121" t="s">
        <v>43</v>
      </c>
      <c r="H669" s="121">
        <v>2</v>
      </c>
      <c r="I669" s="121">
        <v>2</v>
      </c>
      <c r="J669" s="107">
        <v>1037.76</v>
      </c>
      <c r="K669" s="107">
        <v>623.46</v>
      </c>
      <c r="L669" s="107">
        <v>0</v>
      </c>
      <c r="M669" s="122">
        <v>19</v>
      </c>
      <c r="N669" s="123">
        <f t="shared" si="228"/>
        <v>531478.38079999993</v>
      </c>
      <c r="O669" s="107"/>
      <c r="P669" s="108"/>
      <c r="Q669" s="108"/>
      <c r="R669" s="108">
        <f>+AQ669+AR669</f>
        <v>91115.91</v>
      </c>
      <c r="S669" s="108">
        <f>+'Приложение №2'!E669-'Приложение №1'!R669</f>
        <v>440362.47079999989</v>
      </c>
      <c r="T669" s="108">
        <v>0</v>
      </c>
      <c r="U669" s="108">
        <f t="shared" si="232"/>
        <v>852.46588522118486</v>
      </c>
      <c r="V669" s="108">
        <v>1356.2830200640001</v>
      </c>
      <c r="W669" s="135">
        <v>2024</v>
      </c>
      <c r="X669" s="28" t="e">
        <f>+#REF!-'[1]Приложение №1'!$P767</f>
        <v>#REF!</v>
      </c>
      <c r="Z669" s="30">
        <f t="shared" si="227"/>
        <v>597166.72</v>
      </c>
      <c r="AA669" s="26">
        <v>0</v>
      </c>
      <c r="AB669" s="26">
        <v>0</v>
      </c>
      <c r="AC669" s="26">
        <v>520104.74345087993</v>
      </c>
      <c r="AD669" s="26">
        <v>0</v>
      </c>
      <c r="AE669" s="26">
        <v>0</v>
      </c>
      <c r="AF669" s="26"/>
      <c r="AG669" s="26">
        <v>0</v>
      </c>
      <c r="AH669" s="26">
        <v>0</v>
      </c>
      <c r="AI669" s="26">
        <v>0</v>
      </c>
      <c r="AJ669" s="26">
        <v>0</v>
      </c>
      <c r="AK669" s="26">
        <v>0</v>
      </c>
      <c r="AL669" s="26">
        <v>0</v>
      </c>
      <c r="AM669" s="26">
        <v>59716.671999999999</v>
      </c>
      <c r="AN669" s="31">
        <v>5971.6671999999999</v>
      </c>
      <c r="AO669" s="32">
        <v>11373.637349119999</v>
      </c>
      <c r="AP669" s="77">
        <f>+N669-'Приложение №2'!E669</f>
        <v>0</v>
      </c>
      <c r="AQ669" s="1">
        <f>272684.43-245161.44</f>
        <v>27522.989999999991</v>
      </c>
      <c r="AR669" s="1">
        <f t="shared" si="230"/>
        <v>63592.920000000006</v>
      </c>
      <c r="AS669" s="1">
        <f>+(K669*10+L669*20)*12*30-1022746.46</f>
        <v>1221709.5400000005</v>
      </c>
      <c r="AT669" s="28">
        <f t="shared" si="233"/>
        <v>-781347.06920000061</v>
      </c>
      <c r="AU669" s="28">
        <f>+P669-'[6]Приложение №1'!$P636</f>
        <v>0</v>
      </c>
      <c r="AV669" s="28">
        <f>+Q669-'[6]Приложение №1'!$Q636</f>
        <v>0</v>
      </c>
      <c r="AW669" s="28">
        <f>+R669-'[6]Приложение №1'!$R636</f>
        <v>0</v>
      </c>
      <c r="AX669" s="28">
        <f>+S669-'[6]Приложение №1'!$S636</f>
        <v>0</v>
      </c>
      <c r="AY669" s="28">
        <f>+T669-'[6]Приложение №1'!$T636</f>
        <v>0</v>
      </c>
    </row>
    <row r="670" spans="1:51" x14ac:dyDescent="0.25">
      <c r="A670" s="139">
        <f t="shared" si="218"/>
        <v>651</v>
      </c>
      <c r="B670" s="140">
        <f t="shared" si="219"/>
        <v>189</v>
      </c>
      <c r="C670" s="120" t="s">
        <v>54</v>
      </c>
      <c r="D670" s="120" t="s">
        <v>167</v>
      </c>
      <c r="E670" s="121">
        <v>1961</v>
      </c>
      <c r="F670" s="121">
        <v>2004</v>
      </c>
      <c r="G670" s="121" t="s">
        <v>43</v>
      </c>
      <c r="H670" s="121">
        <v>2</v>
      </c>
      <c r="I670" s="121">
        <v>2</v>
      </c>
      <c r="J670" s="107">
        <v>1023.9</v>
      </c>
      <c r="K670" s="107">
        <v>621.22</v>
      </c>
      <c r="L670" s="107">
        <v>0</v>
      </c>
      <c r="M670" s="122">
        <v>19</v>
      </c>
      <c r="N670" s="123">
        <f t="shared" si="228"/>
        <v>526763.96180000005</v>
      </c>
      <c r="O670" s="107"/>
      <c r="P670" s="108"/>
      <c r="Q670" s="108"/>
      <c r="R670" s="108">
        <f>+AQ670+AR670</f>
        <v>166996.36000000002</v>
      </c>
      <c r="S670" s="108">
        <f>+'Приложение №2'!E670-'Приложение №1'!R670</f>
        <v>359767.60180000006</v>
      </c>
      <c r="T670" s="108">
        <v>0</v>
      </c>
      <c r="U670" s="108">
        <f t="shared" si="232"/>
        <v>847.9507449856734</v>
      </c>
      <c r="V670" s="108">
        <v>1357.2830200640001</v>
      </c>
      <c r="W670" s="135">
        <v>2024</v>
      </c>
      <c r="X670" s="28">
        <f>+S670-'[1]Приложение №1'!$P768</f>
        <v>-232102.01819999993</v>
      </c>
      <c r="Z670" s="30">
        <f t="shared" si="227"/>
        <v>591869.62</v>
      </c>
      <c r="AA670" s="26">
        <v>0</v>
      </c>
      <c r="AB670" s="26">
        <v>0</v>
      </c>
      <c r="AC670" s="26">
        <v>515491.21301748004</v>
      </c>
      <c r="AD670" s="26">
        <v>0</v>
      </c>
      <c r="AE670" s="26">
        <v>0</v>
      </c>
      <c r="AF670" s="26"/>
      <c r="AG670" s="26">
        <v>0</v>
      </c>
      <c r="AH670" s="26">
        <v>0</v>
      </c>
      <c r="AI670" s="26">
        <v>0</v>
      </c>
      <c r="AJ670" s="26">
        <v>0</v>
      </c>
      <c r="AK670" s="26">
        <v>0</v>
      </c>
      <c r="AL670" s="26">
        <v>0</v>
      </c>
      <c r="AM670" s="26">
        <v>59186.962</v>
      </c>
      <c r="AN670" s="31">
        <v>5918.6962000000003</v>
      </c>
      <c r="AO670" s="32">
        <v>11272.748782520001</v>
      </c>
      <c r="AP670" s="77">
        <f>+N670-'Приложение №2'!E670</f>
        <v>0</v>
      </c>
      <c r="AQ670" s="1">
        <f>271277.33-167645.41</f>
        <v>103631.92000000001</v>
      </c>
      <c r="AR670" s="1">
        <f t="shared" si="230"/>
        <v>63364.44</v>
      </c>
      <c r="AS670" s="1">
        <f>+(K670*10+L670*20)*12*30-1267907.77</f>
        <v>968484.23000000045</v>
      </c>
      <c r="AT670" s="28">
        <f t="shared" si="233"/>
        <v>-608716.62820000038</v>
      </c>
      <c r="AU670" s="28">
        <f>+P670-'[6]Приложение №1'!$P637</f>
        <v>0</v>
      </c>
      <c r="AV670" s="28">
        <f>+Q670-'[6]Приложение №1'!$Q637</f>
        <v>0</v>
      </c>
      <c r="AW670" s="28">
        <f>+R670-'[6]Приложение №1'!$R637</f>
        <v>0</v>
      </c>
      <c r="AX670" s="28">
        <f>+S670-'[6]Приложение №1'!$S637</f>
        <v>0</v>
      </c>
      <c r="AY670" s="28">
        <f>+T670-'[6]Приложение №1'!$T637</f>
        <v>0</v>
      </c>
    </row>
    <row r="671" spans="1:51" x14ac:dyDescent="0.25">
      <c r="A671" s="139">
        <f t="shared" si="218"/>
        <v>652</v>
      </c>
      <c r="B671" s="140">
        <f t="shared" si="219"/>
        <v>190</v>
      </c>
      <c r="C671" s="120" t="s">
        <v>53</v>
      </c>
      <c r="D671" s="120" t="s">
        <v>761</v>
      </c>
      <c r="E671" s="121">
        <v>1989</v>
      </c>
      <c r="F671" s="121">
        <v>1989</v>
      </c>
      <c r="G671" s="121" t="s">
        <v>43</v>
      </c>
      <c r="H671" s="121">
        <v>2</v>
      </c>
      <c r="I671" s="121">
        <v>2</v>
      </c>
      <c r="J671" s="107">
        <v>638.26</v>
      </c>
      <c r="K671" s="107">
        <v>562.19000000000005</v>
      </c>
      <c r="L671" s="107">
        <v>0</v>
      </c>
      <c r="M671" s="122">
        <v>25</v>
      </c>
      <c r="N671" s="123">
        <f t="shared" si="228"/>
        <v>2160923.4899999998</v>
      </c>
      <c r="O671" s="107"/>
      <c r="P671" s="108"/>
      <c r="Q671" s="108"/>
      <c r="R671" s="108">
        <f>+AQ671+AR671-24000</f>
        <v>315441.84999999998</v>
      </c>
      <c r="S671" s="108">
        <f>+'Приложение №2'!E671-'Приложение №1'!R671</f>
        <v>1845481.6399999997</v>
      </c>
      <c r="T671" s="108">
        <v>1.1641532182693481E-10</v>
      </c>
      <c r="U671" s="108">
        <f t="shared" si="232"/>
        <v>3843.7600988989479</v>
      </c>
      <c r="V671" s="108">
        <v>1358.2830200640001</v>
      </c>
      <c r="W671" s="135">
        <v>2024</v>
      </c>
      <c r="X671" s="28" t="e">
        <f>+#REF!-'[1]Приложение №1'!$P1123</f>
        <v>#REF!</v>
      </c>
      <c r="Z671" s="30">
        <f t="shared" si="227"/>
        <v>4469720.9400000004</v>
      </c>
      <c r="AA671" s="26">
        <v>1751498.5321852199</v>
      </c>
      <c r="AB671" s="26">
        <v>1065762.0143784601</v>
      </c>
      <c r="AC671" s="26">
        <v>502187.45163425995</v>
      </c>
      <c r="AD671" s="26">
        <v>427977.46190892003</v>
      </c>
      <c r="AE671" s="26">
        <v>0</v>
      </c>
      <c r="AF671" s="26"/>
      <c r="AG671" s="26">
        <v>186156.94426056001</v>
      </c>
      <c r="AH671" s="26">
        <v>0</v>
      </c>
      <c r="AI671" s="26">
        <v>0</v>
      </c>
      <c r="AJ671" s="26">
        <v>0</v>
      </c>
      <c r="AK671" s="26">
        <v>0</v>
      </c>
      <c r="AL671" s="26">
        <v>0</v>
      </c>
      <c r="AM671" s="26">
        <v>405421.84589999996</v>
      </c>
      <c r="AN671" s="31">
        <v>44697.209399999992</v>
      </c>
      <c r="AO671" s="32">
        <v>86019.480332579988</v>
      </c>
      <c r="AP671" s="77">
        <f>+N671-'Приложение №2'!E671</f>
        <v>0</v>
      </c>
      <c r="AQ671" s="1">
        <v>282098.46999999997</v>
      </c>
      <c r="AR671" s="1">
        <f t="shared" si="230"/>
        <v>57343.38</v>
      </c>
      <c r="AS671" s="1">
        <f>+(K671*10+L671*20)*12*30</f>
        <v>2023884</v>
      </c>
      <c r="AT671" s="28">
        <f t="shared" si="233"/>
        <v>-178402.36000000034</v>
      </c>
      <c r="AU671" s="28">
        <f>+P671-'[6]Приложение №1'!$P638</f>
        <v>0</v>
      </c>
      <c r="AV671" s="28">
        <f>+Q671-'[6]Приложение №1'!$Q638</f>
        <v>0</v>
      </c>
      <c r="AW671" s="28">
        <f>+R671-'[6]Приложение №1'!$R638</f>
        <v>0</v>
      </c>
      <c r="AX671" s="28">
        <f>+S671-'[6]Приложение №1'!$S638</f>
        <v>0</v>
      </c>
      <c r="AY671" s="28">
        <f>+T671-'[6]Приложение №1'!$T638</f>
        <v>0</v>
      </c>
    </row>
    <row r="672" spans="1:51" x14ac:dyDescent="0.25">
      <c r="A672" s="139">
        <f t="shared" si="218"/>
        <v>653</v>
      </c>
      <c r="B672" s="140">
        <f t="shared" si="219"/>
        <v>191</v>
      </c>
      <c r="C672" s="120" t="s">
        <v>53</v>
      </c>
      <c r="D672" s="120" t="s">
        <v>762</v>
      </c>
      <c r="E672" s="121">
        <v>1989</v>
      </c>
      <c r="F672" s="121">
        <v>1989</v>
      </c>
      <c r="G672" s="121" t="s">
        <v>43</v>
      </c>
      <c r="H672" s="121">
        <v>2</v>
      </c>
      <c r="I672" s="121">
        <v>1</v>
      </c>
      <c r="J672" s="107">
        <v>390.65</v>
      </c>
      <c r="K672" s="107">
        <v>349.25</v>
      </c>
      <c r="L672" s="107">
        <v>0</v>
      </c>
      <c r="M672" s="122">
        <v>1</v>
      </c>
      <c r="N672" s="123">
        <f t="shared" si="228"/>
        <v>2736423.6600000011</v>
      </c>
      <c r="O672" s="107"/>
      <c r="P672" s="108">
        <v>1280621.8600000008</v>
      </c>
      <c r="Q672" s="108"/>
      <c r="R672" s="108">
        <f>+AQ672+AR672-24000</f>
        <v>134568.26</v>
      </c>
      <c r="S672" s="108">
        <f>+AS672</f>
        <v>1257300</v>
      </c>
      <c r="T672" s="108">
        <f>+'Приложение №2'!E672-'Приложение №1'!P672-'Приложение №1'!R672-'Приложение №1'!S672</f>
        <v>63933.539999999804</v>
      </c>
      <c r="U672" s="108">
        <f t="shared" si="232"/>
        <v>7835.1429062276338</v>
      </c>
      <c r="V672" s="108">
        <v>1359.2830200640001</v>
      </c>
      <c r="W672" s="135">
        <v>2024</v>
      </c>
      <c r="X672" s="28" t="e">
        <f>+#REF!-'[1]Приложение №1'!$P1124</f>
        <v>#REF!</v>
      </c>
      <c r="Z672" s="30">
        <f t="shared" si="227"/>
        <v>2736423.6599999997</v>
      </c>
      <c r="AA672" s="26">
        <v>1072291.1104705799</v>
      </c>
      <c r="AB672" s="26">
        <v>652473.92621670011</v>
      </c>
      <c r="AC672" s="26">
        <v>307445.96072232001</v>
      </c>
      <c r="AD672" s="26">
        <v>262013.59455431998</v>
      </c>
      <c r="AE672" s="26">
        <v>0</v>
      </c>
      <c r="AF672" s="26"/>
      <c r="AG672" s="26">
        <v>113967.79944983998</v>
      </c>
      <c r="AH672" s="26">
        <v>0</v>
      </c>
      <c r="AI672" s="26">
        <v>0</v>
      </c>
      <c r="AJ672" s="26">
        <v>0</v>
      </c>
      <c r="AK672" s="26">
        <v>0</v>
      </c>
      <c r="AL672" s="26">
        <v>0</v>
      </c>
      <c r="AM672" s="26">
        <v>248204.74180000002</v>
      </c>
      <c r="AN672" s="31">
        <v>27364.236599999997</v>
      </c>
      <c r="AO672" s="32">
        <v>52662.290186240003</v>
      </c>
      <c r="AP672" s="77">
        <f>+N672-'Приложение №2'!E672</f>
        <v>0</v>
      </c>
      <c r="AQ672" s="1">
        <v>122944.76</v>
      </c>
      <c r="AR672" s="1">
        <f t="shared" si="230"/>
        <v>35623.5</v>
      </c>
      <c r="AS672" s="1">
        <f>+(K672*10+L672*20)*12*30</f>
        <v>1257300</v>
      </c>
      <c r="AT672" s="28">
        <f t="shared" si="233"/>
        <v>0</v>
      </c>
      <c r="AU672" s="28">
        <f>+P672-'[6]Приложение №1'!$P639</f>
        <v>0</v>
      </c>
      <c r="AV672" s="28">
        <f>+Q672-'[6]Приложение №1'!$Q639</f>
        <v>0</v>
      </c>
      <c r="AW672" s="28">
        <f>+R672-'[6]Приложение №1'!$R639</f>
        <v>0</v>
      </c>
      <c r="AX672" s="28">
        <f>+S672-'[6]Приложение №1'!$S639</f>
        <v>0</v>
      </c>
      <c r="AY672" s="28">
        <f>+T672-'[6]Приложение №1'!$T639</f>
        <v>0</v>
      </c>
    </row>
    <row r="673" spans="1:51" x14ac:dyDescent="0.25">
      <c r="A673" s="139">
        <f t="shared" si="218"/>
        <v>654</v>
      </c>
      <c r="B673" s="140">
        <f t="shared" si="219"/>
        <v>192</v>
      </c>
      <c r="C673" s="120" t="s">
        <v>53</v>
      </c>
      <c r="D673" s="120" t="s">
        <v>763</v>
      </c>
      <c r="E673" s="121">
        <v>1989</v>
      </c>
      <c r="F673" s="121">
        <v>1989</v>
      </c>
      <c r="G673" s="121" t="s">
        <v>43</v>
      </c>
      <c r="H673" s="121">
        <v>5</v>
      </c>
      <c r="I673" s="121">
        <v>2</v>
      </c>
      <c r="J673" s="107">
        <v>1113.04</v>
      </c>
      <c r="K673" s="107">
        <v>865.12</v>
      </c>
      <c r="L673" s="107">
        <v>0</v>
      </c>
      <c r="M673" s="122">
        <v>28</v>
      </c>
      <c r="N673" s="123">
        <f t="shared" si="228"/>
        <v>3376959.49</v>
      </c>
      <c r="O673" s="107"/>
      <c r="P673" s="108"/>
      <c r="Q673" s="108"/>
      <c r="R673" s="108">
        <f t="shared" ref="R673:R681" si="234">+AQ673+AR673</f>
        <v>495672.16</v>
      </c>
      <c r="S673" s="108">
        <f>+'Приложение №2'!E673-'Приложение №1'!R673</f>
        <v>2881287.33</v>
      </c>
      <c r="T673" s="108">
        <v>0</v>
      </c>
      <c r="U673" s="108">
        <f t="shared" si="232"/>
        <v>3903.4578902348808</v>
      </c>
      <c r="V673" s="108">
        <v>1360.2830200640001</v>
      </c>
      <c r="W673" s="135">
        <v>2024</v>
      </c>
      <c r="X673" s="28" t="e">
        <f>+#REF!-'[1]Приложение №1'!$P1125</f>
        <v>#REF!</v>
      </c>
      <c r="Z673" s="30">
        <f t="shared" si="227"/>
        <v>3813311.24</v>
      </c>
      <c r="AA673" s="26">
        <v>2150190.8694575401</v>
      </c>
      <c r="AB673" s="26">
        <v>760761.90151710005</v>
      </c>
      <c r="AC673" s="26">
        <v>380042.30206949997</v>
      </c>
      <c r="AD673" s="26">
        <v>0</v>
      </c>
      <c r="AE673" s="26">
        <v>0</v>
      </c>
      <c r="AF673" s="26"/>
      <c r="AG673" s="26">
        <v>85315.658345399992</v>
      </c>
      <c r="AH673" s="26">
        <v>0</v>
      </c>
      <c r="AI673" s="26">
        <v>0</v>
      </c>
      <c r="AJ673" s="26">
        <v>0</v>
      </c>
      <c r="AK673" s="26">
        <v>0</v>
      </c>
      <c r="AL673" s="26">
        <v>0</v>
      </c>
      <c r="AM673" s="26">
        <v>325034.3187</v>
      </c>
      <c r="AN673" s="31">
        <v>38133.112399999998</v>
      </c>
      <c r="AO673" s="32">
        <v>73833.077510459989</v>
      </c>
      <c r="AP673" s="77">
        <f>+N673-'Приложение №2'!E673</f>
        <v>0</v>
      </c>
      <c r="AQ673" s="1">
        <v>407429.92</v>
      </c>
      <c r="AR673" s="1">
        <f t="shared" si="230"/>
        <v>88242.240000000005</v>
      </c>
      <c r="AS673" s="1">
        <f>+(K673*10+L673*20)*12*30</f>
        <v>3114432.0000000005</v>
      </c>
      <c r="AT673" s="28">
        <f t="shared" si="233"/>
        <v>-233144.67000000039</v>
      </c>
      <c r="AU673" s="28">
        <f>+P673-'[6]Приложение №1'!$P640</f>
        <v>0</v>
      </c>
      <c r="AV673" s="28">
        <f>+Q673-'[6]Приложение №1'!$Q640</f>
        <v>0</v>
      </c>
      <c r="AW673" s="28">
        <f>+R673-'[6]Приложение №1'!$R640</f>
        <v>0</v>
      </c>
      <c r="AX673" s="28">
        <f>+S673-'[6]Приложение №1'!$S640</f>
        <v>0</v>
      </c>
      <c r="AY673" s="28">
        <f>+T673-'[6]Приложение №1'!$T640</f>
        <v>0</v>
      </c>
    </row>
    <row r="674" spans="1:51" x14ac:dyDescent="0.25">
      <c r="A674" s="139">
        <f t="shared" si="218"/>
        <v>655</v>
      </c>
      <c r="B674" s="140">
        <f t="shared" si="219"/>
        <v>193</v>
      </c>
      <c r="C674" s="120" t="s">
        <v>45</v>
      </c>
      <c r="D674" s="120" t="s">
        <v>608</v>
      </c>
      <c r="E674" s="121">
        <v>1973</v>
      </c>
      <c r="F674" s="121">
        <v>1973</v>
      </c>
      <c r="G674" s="121" t="s">
        <v>43</v>
      </c>
      <c r="H674" s="121">
        <v>4</v>
      </c>
      <c r="I674" s="121">
        <v>3</v>
      </c>
      <c r="J674" s="107">
        <v>1399</v>
      </c>
      <c r="K674" s="107">
        <v>1081.5999999999999</v>
      </c>
      <c r="L674" s="107">
        <v>197.9</v>
      </c>
      <c r="M674" s="122">
        <v>41</v>
      </c>
      <c r="N674" s="123">
        <f t="shared" si="228"/>
        <v>1384114.0804000003</v>
      </c>
      <c r="O674" s="107"/>
      <c r="P674" s="108"/>
      <c r="Q674" s="108"/>
      <c r="R674" s="108">
        <f t="shared" si="234"/>
        <v>240041.57999999996</v>
      </c>
      <c r="S674" s="108">
        <f>+'Приложение №2'!E674-'Приложение №1'!R674</f>
        <v>1144072.5004000003</v>
      </c>
      <c r="T674" s="108">
        <v>0</v>
      </c>
      <c r="U674" s="108">
        <f t="shared" si="232"/>
        <v>1279.6912725591719</v>
      </c>
      <c r="V674" s="108">
        <v>1361.2830200640001</v>
      </c>
      <c r="W674" s="135">
        <v>2024</v>
      </c>
      <c r="X674" s="28" t="e">
        <f>+#REF!-'[1]Приложение №1'!$P474</f>
        <v>#REF!</v>
      </c>
      <c r="Z674" s="30">
        <f t="shared" si="227"/>
        <v>7079219.7999999998</v>
      </c>
      <c r="AA674" s="26">
        <v>3593692.2573879599</v>
      </c>
      <c r="AB674" s="26">
        <v>1296470.75263692</v>
      </c>
      <c r="AC674" s="26">
        <v>1354494.0390794401</v>
      </c>
      <c r="AD674" s="26">
        <v>0</v>
      </c>
      <c r="AE674" s="26">
        <v>0</v>
      </c>
      <c r="AF674" s="26"/>
      <c r="AG674" s="26">
        <v>0</v>
      </c>
      <c r="AH674" s="26">
        <v>0</v>
      </c>
      <c r="AI674" s="26">
        <v>0</v>
      </c>
      <c r="AJ674" s="26">
        <v>0</v>
      </c>
      <c r="AK674" s="26">
        <v>0</v>
      </c>
      <c r="AL674" s="26">
        <v>0</v>
      </c>
      <c r="AM674" s="26">
        <v>627212.55079999997</v>
      </c>
      <c r="AN674" s="31">
        <v>70792.198000000004</v>
      </c>
      <c r="AO674" s="32">
        <v>136558.00209567999</v>
      </c>
      <c r="AP674" s="77">
        <f>+N674-'Приложение №2'!E674</f>
        <v>0</v>
      </c>
      <c r="AQ674" s="28">
        <f>414772.6-R149</f>
        <v>89346.77999999997</v>
      </c>
      <c r="AR674" s="1">
        <f t="shared" si="230"/>
        <v>150694.79999999999</v>
      </c>
      <c r="AS674" s="1">
        <f>+(K674*10+L674*20)*12*30-S149</f>
        <v>3563037.67</v>
      </c>
      <c r="AT674" s="28">
        <f t="shared" si="233"/>
        <v>-2418965.1695999997</v>
      </c>
      <c r="AU674" s="28">
        <f>+P674-'[6]Приложение №1'!$P641</f>
        <v>0</v>
      </c>
      <c r="AV674" s="28">
        <f>+Q674-'[6]Приложение №1'!$Q641</f>
        <v>0</v>
      </c>
      <c r="AW674" s="28">
        <f>+R674-'[6]Приложение №1'!$R641</f>
        <v>0</v>
      </c>
      <c r="AX674" s="28">
        <f>+S674-'[6]Приложение №1'!$S641</f>
        <v>0</v>
      </c>
      <c r="AY674" s="28">
        <f>+T674-'[6]Приложение №1'!$T641</f>
        <v>0</v>
      </c>
    </row>
    <row r="675" spans="1:51" x14ac:dyDescent="0.25">
      <c r="A675" s="139">
        <f t="shared" si="218"/>
        <v>656</v>
      </c>
      <c r="B675" s="140">
        <f t="shared" si="219"/>
        <v>194</v>
      </c>
      <c r="C675" s="120" t="s">
        <v>45</v>
      </c>
      <c r="D675" s="120" t="s">
        <v>609</v>
      </c>
      <c r="E675" s="121">
        <v>1972</v>
      </c>
      <c r="F675" s="121">
        <v>2013</v>
      </c>
      <c r="G675" s="121" t="s">
        <v>43</v>
      </c>
      <c r="H675" s="121">
        <v>4</v>
      </c>
      <c r="I675" s="121">
        <v>3</v>
      </c>
      <c r="J675" s="107">
        <v>1348.9</v>
      </c>
      <c r="K675" s="107">
        <v>1047.4000000000001</v>
      </c>
      <c r="L675" s="107">
        <v>182.5</v>
      </c>
      <c r="M675" s="122">
        <v>50</v>
      </c>
      <c r="N675" s="123">
        <f t="shared" si="228"/>
        <v>5341683.8354999991</v>
      </c>
      <c r="O675" s="107"/>
      <c r="P675" s="108"/>
      <c r="Q675" s="108"/>
      <c r="R675" s="108">
        <f t="shared" si="234"/>
        <v>678579.41999999993</v>
      </c>
      <c r="S675" s="108">
        <f>+'Приложение №2'!E675-'Приложение №1'!R675</f>
        <v>4663104.4154999992</v>
      </c>
      <c r="T675" s="108">
        <v>0</v>
      </c>
      <c r="U675" s="108">
        <f t="shared" si="232"/>
        <v>5099.9463772197814</v>
      </c>
      <c r="V675" s="108">
        <v>1362.2830200640001</v>
      </c>
      <c r="W675" s="135">
        <v>2024</v>
      </c>
      <c r="X675" s="28" t="e">
        <f>+#REF!-'[1]Приложение №1'!$P1167</f>
        <v>#REF!</v>
      </c>
      <c r="Z675" s="30">
        <f t="shared" si="227"/>
        <v>6001891.9499999993</v>
      </c>
      <c r="AA675" s="26">
        <v>0</v>
      </c>
      <c r="AB675" s="26">
        <v>0</v>
      </c>
      <c r="AC675" s="26">
        <v>1189999.01255088</v>
      </c>
      <c r="AD675" s="26">
        <v>0</v>
      </c>
      <c r="AE675" s="26">
        <v>0</v>
      </c>
      <c r="AF675" s="26"/>
      <c r="AG675" s="26">
        <v>0</v>
      </c>
      <c r="AH675" s="26">
        <v>0</v>
      </c>
      <c r="AI675" s="26">
        <v>0</v>
      </c>
      <c r="AJ675" s="26">
        <v>764864.79162029992</v>
      </c>
      <c r="AK675" s="26">
        <v>0</v>
      </c>
      <c r="AL675" s="26">
        <v>3272507.9972491194</v>
      </c>
      <c r="AM675" s="26">
        <v>600189.19499999995</v>
      </c>
      <c r="AN675" s="31">
        <v>60018.919499999996</v>
      </c>
      <c r="AO675" s="32">
        <v>114312.03407969998</v>
      </c>
      <c r="AP675" s="77">
        <f>+N675-'Приложение №2'!E675</f>
        <v>0</v>
      </c>
      <c r="AQ675" s="1">
        <v>534514.62</v>
      </c>
      <c r="AR675" s="1">
        <f t="shared" si="230"/>
        <v>144064.79999999999</v>
      </c>
      <c r="AS675" s="1">
        <f>+(K675*10+L675*20)*12*30</f>
        <v>5084640</v>
      </c>
      <c r="AT675" s="28">
        <f t="shared" si="233"/>
        <v>-421535.58450000081</v>
      </c>
      <c r="AU675" s="28">
        <f>+P675-'[6]Приложение №1'!$P642</f>
        <v>0</v>
      </c>
      <c r="AV675" s="28">
        <f>+Q675-'[6]Приложение №1'!$Q642</f>
        <v>0</v>
      </c>
      <c r="AW675" s="28">
        <f>+R675-'[6]Приложение №1'!$R642</f>
        <v>0</v>
      </c>
      <c r="AX675" s="28">
        <f>+S675-'[6]Приложение №1'!$S642</f>
        <v>0</v>
      </c>
      <c r="AY675" s="28">
        <f>+T675-'[6]Приложение №1'!$T642</f>
        <v>0</v>
      </c>
    </row>
    <row r="676" spans="1:51" x14ac:dyDescent="0.25">
      <c r="A676" s="139">
        <f t="shared" ref="A676:A739" si="235">+A675+1</f>
        <v>657</v>
      </c>
      <c r="B676" s="140">
        <f t="shared" ref="B676:B739" si="236">+B675+1</f>
        <v>195</v>
      </c>
      <c r="C676" s="120" t="s">
        <v>45</v>
      </c>
      <c r="D676" s="120" t="s">
        <v>610</v>
      </c>
      <c r="E676" s="121">
        <v>1972</v>
      </c>
      <c r="F676" s="121">
        <v>2013</v>
      </c>
      <c r="G676" s="121" t="s">
        <v>43</v>
      </c>
      <c r="H676" s="121">
        <v>4</v>
      </c>
      <c r="I676" s="121">
        <v>1</v>
      </c>
      <c r="J676" s="107">
        <v>1401</v>
      </c>
      <c r="K676" s="107">
        <v>1155.5999999999999</v>
      </c>
      <c r="L676" s="107">
        <v>81.099999999999994</v>
      </c>
      <c r="M676" s="122">
        <v>60</v>
      </c>
      <c r="N676" s="123">
        <f t="shared" si="228"/>
        <v>6055299.0787000004</v>
      </c>
      <c r="O676" s="107"/>
      <c r="P676" s="108">
        <f>+'Приложение №2'!E676-'Приложение №1'!R676-'Приложение №1'!S676</f>
        <v>666884.95870000031</v>
      </c>
      <c r="Q676" s="108"/>
      <c r="R676" s="108">
        <f t="shared" si="234"/>
        <v>644334.12</v>
      </c>
      <c r="S676" s="108">
        <f t="shared" ref="S676:S694" si="237">+AS676</f>
        <v>4744080</v>
      </c>
      <c r="T676" s="108">
        <v>0</v>
      </c>
      <c r="U676" s="108">
        <f t="shared" si="232"/>
        <v>5239.9611272931816</v>
      </c>
      <c r="V676" s="108">
        <v>1363.2830200640001</v>
      </c>
      <c r="W676" s="135">
        <v>2024</v>
      </c>
      <c r="X676" s="28" t="e">
        <f>+#REF!-'[1]Приложение №1'!$P1168</f>
        <v>#REF!</v>
      </c>
      <c r="Z676" s="30">
        <f t="shared" si="227"/>
        <v>6803706.830000001</v>
      </c>
      <c r="AA676" s="26">
        <v>0</v>
      </c>
      <c r="AB676" s="26">
        <v>0</v>
      </c>
      <c r="AC676" s="26">
        <v>1348975.3697015401</v>
      </c>
      <c r="AD676" s="26">
        <v>0</v>
      </c>
      <c r="AE676" s="26">
        <v>0</v>
      </c>
      <c r="AF676" s="26"/>
      <c r="AG676" s="26">
        <v>0</v>
      </c>
      <c r="AH676" s="26">
        <v>0</v>
      </c>
      <c r="AI676" s="26">
        <v>0</v>
      </c>
      <c r="AJ676" s="26">
        <v>867045.8987589</v>
      </c>
      <c r="AK676" s="26">
        <v>0</v>
      </c>
      <c r="AL676" s="26">
        <v>3709694.4099553796</v>
      </c>
      <c r="AM676" s="26">
        <v>680370.68299999996</v>
      </c>
      <c r="AN676" s="31">
        <v>68037.068299999999</v>
      </c>
      <c r="AO676" s="32">
        <v>129583.40028418</v>
      </c>
      <c r="AP676" s="77">
        <f>+N676-'Приложение №2'!E676</f>
        <v>0</v>
      </c>
      <c r="AQ676" s="1">
        <v>509918.52</v>
      </c>
      <c r="AR676" s="1">
        <f t="shared" si="230"/>
        <v>134415.6</v>
      </c>
      <c r="AS676" s="1">
        <f>+(K676*10+L676*20)*12*30</f>
        <v>4744080</v>
      </c>
      <c r="AT676" s="28">
        <f t="shared" si="233"/>
        <v>0</v>
      </c>
      <c r="AU676" s="28">
        <f>+P676-'[6]Приложение №1'!$P643</f>
        <v>0</v>
      </c>
      <c r="AV676" s="28">
        <f>+Q676-'[6]Приложение №1'!$Q643</f>
        <v>0</v>
      </c>
      <c r="AW676" s="28">
        <f>+R676-'[6]Приложение №1'!$R643</f>
        <v>0</v>
      </c>
      <c r="AX676" s="28">
        <f>+S676-'[6]Приложение №1'!$S643</f>
        <v>0</v>
      </c>
      <c r="AY676" s="28">
        <f>+T676-'[6]Приложение №1'!$T643</f>
        <v>0</v>
      </c>
    </row>
    <row r="677" spans="1:51" x14ac:dyDescent="0.25">
      <c r="A677" s="139">
        <f t="shared" si="235"/>
        <v>658</v>
      </c>
      <c r="B677" s="140">
        <f t="shared" si="236"/>
        <v>196</v>
      </c>
      <c r="C677" s="120" t="s">
        <v>45</v>
      </c>
      <c r="D677" s="120" t="s">
        <v>611</v>
      </c>
      <c r="E677" s="121">
        <v>1970</v>
      </c>
      <c r="F677" s="121">
        <v>1970</v>
      </c>
      <c r="G677" s="121" t="s">
        <v>43</v>
      </c>
      <c r="H677" s="121">
        <v>4</v>
      </c>
      <c r="I677" s="121">
        <v>1</v>
      </c>
      <c r="J677" s="107">
        <v>1343.6</v>
      </c>
      <c r="K677" s="107">
        <v>929.1</v>
      </c>
      <c r="L677" s="107">
        <v>317.89999999999998</v>
      </c>
      <c r="M677" s="122">
        <v>43</v>
      </c>
      <c r="N677" s="123">
        <f t="shared" si="228"/>
        <v>16766263.546429582</v>
      </c>
      <c r="O677" s="107"/>
      <c r="P677" s="108">
        <v>1321634.5791319686</v>
      </c>
      <c r="Q677" s="108"/>
      <c r="R677" s="108">
        <f t="shared" si="234"/>
        <v>861801.35000000009</v>
      </c>
      <c r="S677" s="108">
        <f t="shared" si="237"/>
        <v>5633640</v>
      </c>
      <c r="T677" s="108">
        <f>+'Приложение №2'!E677-'Приложение №1'!P677-'Приложение №1'!R677-'Приложение №1'!S677</f>
        <v>8949187.617297614</v>
      </c>
      <c r="U677" s="108">
        <f t="shared" si="232"/>
        <v>18045.703956979421</v>
      </c>
      <c r="V677" s="108">
        <v>1364.2830200640001</v>
      </c>
      <c r="W677" s="135">
        <v>2024</v>
      </c>
      <c r="X677" s="28" t="e">
        <f>+#REF!-'[1]Приложение №1'!$P1170</f>
        <v>#REF!</v>
      </c>
      <c r="Z677" s="30">
        <f t="shared" si="227"/>
        <v>19642322.439999998</v>
      </c>
      <c r="AA677" s="26">
        <v>2821780.5180419399</v>
      </c>
      <c r="AB677" s="26">
        <v>1017993.6538753798</v>
      </c>
      <c r="AC677" s="26">
        <v>1063553.7540591599</v>
      </c>
      <c r="AD677" s="26">
        <v>665875.47655355989</v>
      </c>
      <c r="AE677" s="26">
        <v>0</v>
      </c>
      <c r="AF677" s="26"/>
      <c r="AG677" s="26">
        <v>101809.49181312</v>
      </c>
      <c r="AH677" s="26">
        <v>0</v>
      </c>
      <c r="AI677" s="26">
        <v>5222681.4190823995</v>
      </c>
      <c r="AJ677" s="26">
        <v>683592.85135050002</v>
      </c>
      <c r="AK677" s="26">
        <v>2711658.3273179396</v>
      </c>
      <c r="AL677" s="26">
        <v>2924782.3910923805</v>
      </c>
      <c r="AM677" s="26">
        <v>1855741.9672999999</v>
      </c>
      <c r="AN677" s="31">
        <v>196423.22439999998</v>
      </c>
      <c r="AO677" s="32">
        <v>376429.36511361995</v>
      </c>
      <c r="AP677" s="77">
        <f>+N677-'Приложение №2'!E677</f>
        <v>0</v>
      </c>
      <c r="AQ677" s="1">
        <v>702181.55</v>
      </c>
      <c r="AR677" s="1">
        <f t="shared" si="230"/>
        <v>159619.79999999999</v>
      </c>
      <c r="AS677" s="1">
        <f>+(K677*10+L677*20)*12*30</f>
        <v>5633640</v>
      </c>
      <c r="AT677" s="28">
        <f t="shared" si="233"/>
        <v>0</v>
      </c>
      <c r="AU677" s="28">
        <f>+P677-'[6]Приложение №1'!$P644</f>
        <v>0</v>
      </c>
      <c r="AV677" s="28">
        <f>+Q677-'[6]Приложение №1'!$Q644</f>
        <v>0</v>
      </c>
      <c r="AW677" s="28">
        <f>+R677-'[6]Приложение №1'!$R644</f>
        <v>0</v>
      </c>
      <c r="AX677" s="28">
        <f>+S677-'[6]Приложение №1'!$S644</f>
        <v>0</v>
      </c>
      <c r="AY677" s="28">
        <f>+T677-'[6]Приложение №1'!$T644</f>
        <v>7801712.1901649684</v>
      </c>
    </row>
    <row r="678" spans="1:51" x14ac:dyDescent="0.25">
      <c r="A678" s="139">
        <f t="shared" si="235"/>
        <v>659</v>
      </c>
      <c r="B678" s="140">
        <f t="shared" si="236"/>
        <v>197</v>
      </c>
      <c r="C678" s="120" t="s">
        <v>45</v>
      </c>
      <c r="D678" s="120" t="s">
        <v>612</v>
      </c>
      <c r="E678" s="121">
        <v>1969</v>
      </c>
      <c r="F678" s="121">
        <v>1969</v>
      </c>
      <c r="G678" s="121" t="s">
        <v>43</v>
      </c>
      <c r="H678" s="121">
        <v>4</v>
      </c>
      <c r="I678" s="121">
        <v>4</v>
      </c>
      <c r="J678" s="107">
        <v>1301.0999999999999</v>
      </c>
      <c r="K678" s="107">
        <v>1206.0999999999999</v>
      </c>
      <c r="L678" s="107">
        <v>0</v>
      </c>
      <c r="M678" s="122">
        <v>55</v>
      </c>
      <c r="N678" s="123">
        <f t="shared" si="228"/>
        <v>7055254.3933999995</v>
      </c>
      <c r="O678" s="107"/>
      <c r="P678" s="108">
        <v>1920678.6675</v>
      </c>
      <c r="Q678" s="108"/>
      <c r="R678" s="108">
        <f t="shared" si="234"/>
        <v>591478.23</v>
      </c>
      <c r="S678" s="108">
        <f t="shared" si="237"/>
        <v>3336994.5446359999</v>
      </c>
      <c r="T678" s="108">
        <f>+'Приложение №2'!E678-'Приложение №1'!P678-'Приложение №1'!Q678-'Приложение №1'!R678-'Приложение №1'!S678</f>
        <v>1206102.9512639996</v>
      </c>
      <c r="U678" s="108">
        <f t="shared" si="232"/>
        <v>5849.6429760384708</v>
      </c>
      <c r="V678" s="108">
        <v>1365.2830200640001</v>
      </c>
      <c r="W678" s="135">
        <v>2024</v>
      </c>
      <c r="X678" s="28" t="e">
        <f>+#REF!-'[1]Приложение №1'!$P1507</f>
        <v>#REF!</v>
      </c>
      <c r="Z678" s="30">
        <f t="shared" ref="Z678:Z694" si="238">SUM(AA678:AO678)</f>
        <v>20711430.510000002</v>
      </c>
      <c r="AA678" s="26">
        <v>3099206.3677902599</v>
      </c>
      <c r="AB678" s="26">
        <v>1118078.6011840198</v>
      </c>
      <c r="AC678" s="26">
        <v>1168117.9829516402</v>
      </c>
      <c r="AD678" s="26">
        <v>731341.61352924001</v>
      </c>
      <c r="AE678" s="26">
        <v>0</v>
      </c>
      <c r="AF678" s="26"/>
      <c r="AG678" s="26">
        <v>111818.98213248001</v>
      </c>
      <c r="AH678" s="26">
        <v>0</v>
      </c>
      <c r="AI678" s="26">
        <v>5736153.9664296005</v>
      </c>
      <c r="AJ678" s="26">
        <v>0</v>
      </c>
      <c r="AK678" s="26">
        <v>2978257.4163942602</v>
      </c>
      <c r="AL678" s="26">
        <v>3212334.9611770199</v>
      </c>
      <c r="AM678" s="26">
        <v>1951986.4567</v>
      </c>
      <c r="AN678" s="31">
        <v>207114.30510000003</v>
      </c>
      <c r="AO678" s="32">
        <v>397019.85661148006</v>
      </c>
      <c r="AP678" s="77">
        <f>+N678-'Приложение №2'!E678</f>
        <v>0</v>
      </c>
      <c r="AQ678" s="28">
        <f>468456.03-R150</f>
        <v>468456.03</v>
      </c>
      <c r="AR678" s="1">
        <f t="shared" si="230"/>
        <v>123022.2</v>
      </c>
      <c r="AS678" s="1">
        <f>+(K678*10+L678*20)*12*30-S150</f>
        <v>3336994.5446359999</v>
      </c>
      <c r="AT678" s="28">
        <f t="shared" si="233"/>
        <v>0</v>
      </c>
      <c r="AU678" s="28">
        <f>+P678-'[6]Приложение №1'!$P645</f>
        <v>0</v>
      </c>
      <c r="AV678" s="28">
        <f>+Q678-'[6]Приложение №1'!$Q645</f>
        <v>0</v>
      </c>
      <c r="AW678" s="28">
        <f>+R678-'[6]Приложение №1'!$R645</f>
        <v>0</v>
      </c>
      <c r="AX678" s="28">
        <f>+S678-'[6]Приложение №1'!$S645</f>
        <v>0</v>
      </c>
      <c r="AY678" s="28">
        <f>+T678-'[6]Приложение №1'!$T645</f>
        <v>0</v>
      </c>
    </row>
    <row r="679" spans="1:51" x14ac:dyDescent="0.25">
      <c r="A679" s="139">
        <f t="shared" si="235"/>
        <v>660</v>
      </c>
      <c r="B679" s="140">
        <f t="shared" si="236"/>
        <v>198</v>
      </c>
      <c r="C679" s="120" t="s">
        <v>45</v>
      </c>
      <c r="D679" s="120" t="s">
        <v>613</v>
      </c>
      <c r="E679" s="121">
        <v>1970</v>
      </c>
      <c r="F679" s="121">
        <v>1970</v>
      </c>
      <c r="G679" s="121" t="s">
        <v>43</v>
      </c>
      <c r="H679" s="121">
        <v>4</v>
      </c>
      <c r="I679" s="121">
        <v>4</v>
      </c>
      <c r="J679" s="107">
        <v>1365.1</v>
      </c>
      <c r="K679" s="107">
        <v>1195.1600000000001</v>
      </c>
      <c r="L679" s="107">
        <v>66.400000000000006</v>
      </c>
      <c r="M679" s="122">
        <v>42</v>
      </c>
      <c r="N679" s="123">
        <f t="shared" ref="N679:N710" si="239">SUM(O679:T679)</f>
        <v>10250824.942299999</v>
      </c>
      <c r="O679" s="107"/>
      <c r="P679" s="108">
        <v>1460525.3899999997</v>
      </c>
      <c r="Q679" s="108"/>
      <c r="R679" s="108">
        <f t="shared" si="234"/>
        <v>436891.19000000006</v>
      </c>
      <c r="S679" s="108">
        <f t="shared" si="237"/>
        <v>3770010.74</v>
      </c>
      <c r="T679" s="108">
        <f>+'Приложение №2'!E679-'Приложение №1'!P679-'Приложение №1'!R679-'Приложение №1'!S679</f>
        <v>4583397.6222999981</v>
      </c>
      <c r="U679" s="108">
        <f t="shared" si="232"/>
        <v>8576.9478080759054</v>
      </c>
      <c r="V679" s="108">
        <v>1366.2830200640001</v>
      </c>
      <c r="W679" s="135">
        <v>2024</v>
      </c>
      <c r="X679" s="28" t="e">
        <f>+#REF!-'[1]Приложение №1'!$P1172</f>
        <v>#REF!</v>
      </c>
      <c r="Z679" s="30">
        <f t="shared" si="238"/>
        <v>20539765.109999996</v>
      </c>
      <c r="AA679" s="26">
        <v>3073518.7891098596</v>
      </c>
      <c r="AB679" s="26">
        <v>1108811.4764332199</v>
      </c>
      <c r="AC679" s="26">
        <v>1158436.1099060399</v>
      </c>
      <c r="AD679" s="26">
        <v>725279.93417963991</v>
      </c>
      <c r="AE679" s="26">
        <v>0</v>
      </c>
      <c r="AF679" s="26"/>
      <c r="AG679" s="26">
        <v>110892.17747327998</v>
      </c>
      <c r="AH679" s="26">
        <v>0</v>
      </c>
      <c r="AI679" s="26">
        <v>5688610.2120455997</v>
      </c>
      <c r="AJ679" s="26">
        <v>0</v>
      </c>
      <c r="AK679" s="26">
        <v>2953572.3155538603</v>
      </c>
      <c r="AL679" s="26">
        <v>3185709.7232062202</v>
      </c>
      <c r="AM679" s="26">
        <v>1935807.5387000002</v>
      </c>
      <c r="AN679" s="31">
        <v>205397.65109999999</v>
      </c>
      <c r="AO679" s="32">
        <v>393729.18229228002</v>
      </c>
      <c r="AP679" s="77">
        <f>+N679-'Приложение №2'!E679</f>
        <v>0</v>
      </c>
      <c r="AQ679" s="1">
        <f>462874.44-161435.17</f>
        <v>301439.27</v>
      </c>
      <c r="AR679" s="1">
        <f t="shared" si="230"/>
        <v>135451.92000000001</v>
      </c>
      <c r="AS679" s="1">
        <f>+(K679*10+L679*20)*12*30-1010645.26</f>
        <v>3770010.74</v>
      </c>
      <c r="AT679" s="28">
        <f t="shared" si="233"/>
        <v>0</v>
      </c>
      <c r="AU679" s="28">
        <f>+P679-'[6]Приложение №1'!$P646</f>
        <v>0</v>
      </c>
      <c r="AV679" s="28">
        <f>+Q679-'[6]Приложение №1'!$Q646</f>
        <v>0</v>
      </c>
      <c r="AW679" s="28">
        <f>+R679-'[6]Приложение №1'!$R646</f>
        <v>0</v>
      </c>
      <c r="AX679" s="28">
        <f>+S679-'[6]Приложение №1'!$S646</f>
        <v>0</v>
      </c>
      <c r="AY679" s="28">
        <f>+T679-'[6]Приложение №1'!$T646</f>
        <v>0</v>
      </c>
    </row>
    <row r="680" spans="1:51" x14ac:dyDescent="0.25">
      <c r="A680" s="139">
        <f t="shared" si="235"/>
        <v>661</v>
      </c>
      <c r="B680" s="140">
        <f t="shared" si="236"/>
        <v>199</v>
      </c>
      <c r="C680" s="120" t="s">
        <v>45</v>
      </c>
      <c r="D680" s="120" t="s">
        <v>614</v>
      </c>
      <c r="E680" s="121">
        <v>1965</v>
      </c>
      <c r="F680" s="121">
        <v>1965</v>
      </c>
      <c r="G680" s="121" t="s">
        <v>43</v>
      </c>
      <c r="H680" s="121">
        <v>3</v>
      </c>
      <c r="I680" s="121">
        <v>2</v>
      </c>
      <c r="J680" s="107">
        <v>987.3</v>
      </c>
      <c r="K680" s="107">
        <v>918.1</v>
      </c>
      <c r="L680" s="107">
        <v>68.099999999999994</v>
      </c>
      <c r="M680" s="122">
        <v>38</v>
      </c>
      <c r="N680" s="123">
        <f t="shared" si="239"/>
        <v>36148005.414999992</v>
      </c>
      <c r="O680" s="107"/>
      <c r="P680" s="108">
        <v>6467982.027999999</v>
      </c>
      <c r="Q680" s="108"/>
      <c r="R680" s="108">
        <f t="shared" si="234"/>
        <v>439706.48</v>
      </c>
      <c r="S680" s="108">
        <f t="shared" si="237"/>
        <v>3795480</v>
      </c>
      <c r="T680" s="108">
        <f>+'Приложение №2'!E680-'Приложение №1'!P680-'Приложение №1'!R680-'Приложение №1'!S680</f>
        <v>25444836.906999994</v>
      </c>
      <c r="U680" s="108">
        <f t="shared" si="232"/>
        <v>39372.623259993452</v>
      </c>
      <c r="V680" s="108">
        <v>1367.2830200640001</v>
      </c>
      <c r="W680" s="135">
        <v>2024</v>
      </c>
      <c r="X680" s="28" t="e">
        <f>+#REF!-'[1]Приложение №1'!$P1173</f>
        <v>#REF!</v>
      </c>
      <c r="Z680" s="30">
        <f t="shared" si="238"/>
        <v>36579168.819999993</v>
      </c>
      <c r="AA680" s="26">
        <v>3296586.4242183599</v>
      </c>
      <c r="AB680" s="26">
        <v>2005923.7262883002</v>
      </c>
      <c r="AC680" s="26">
        <v>945220.05597012001</v>
      </c>
      <c r="AD680" s="26">
        <v>805515.18886355986</v>
      </c>
      <c r="AE680" s="26">
        <v>0</v>
      </c>
      <c r="AF680" s="26"/>
      <c r="AG680" s="26">
        <v>312478.89445500006</v>
      </c>
      <c r="AH680" s="26">
        <v>0</v>
      </c>
      <c r="AI680" s="26">
        <v>9536457.495171601</v>
      </c>
      <c r="AJ680" s="26">
        <v>0</v>
      </c>
      <c r="AK680" s="26">
        <v>7797629.057187479</v>
      </c>
      <c r="AL680" s="26">
        <v>7337973.3202931397</v>
      </c>
      <c r="AM680" s="26">
        <v>3474991.5172000001</v>
      </c>
      <c r="AN680" s="31">
        <v>365791.68819999992</v>
      </c>
      <c r="AO680" s="32">
        <v>700601.45215243986</v>
      </c>
      <c r="AP680" s="77">
        <f>+N680-'Приложение №2'!E680</f>
        <v>0</v>
      </c>
      <c r="AQ680" s="1">
        <v>332167.88</v>
      </c>
      <c r="AR680" s="1">
        <f t="shared" si="230"/>
        <v>107538.59999999999</v>
      </c>
      <c r="AS680" s="1">
        <f>+(K680*10+L680*20)*12*30</f>
        <v>3795480</v>
      </c>
      <c r="AT680" s="28">
        <f t="shared" si="233"/>
        <v>0</v>
      </c>
      <c r="AU680" s="28">
        <f>+P680-'[6]Приложение №1'!$P647</f>
        <v>0</v>
      </c>
      <c r="AV680" s="28">
        <f>+Q680-'[6]Приложение №1'!$Q647</f>
        <v>0</v>
      </c>
      <c r="AW680" s="28">
        <f>+R680-'[6]Приложение №1'!$R647</f>
        <v>0</v>
      </c>
      <c r="AX680" s="28">
        <f>+S680-'[6]Приложение №1'!$S647</f>
        <v>0</v>
      </c>
      <c r="AY680" s="28">
        <f>+T680-'[6]Приложение №1'!$T647</f>
        <v>0</v>
      </c>
    </row>
    <row r="681" spans="1:51" x14ac:dyDescent="0.25">
      <c r="A681" s="139">
        <f t="shared" si="235"/>
        <v>662</v>
      </c>
      <c r="B681" s="140">
        <f t="shared" si="236"/>
        <v>200</v>
      </c>
      <c r="C681" s="120" t="s">
        <v>45</v>
      </c>
      <c r="D681" s="120" t="s">
        <v>615</v>
      </c>
      <c r="E681" s="121">
        <v>1964</v>
      </c>
      <c r="F681" s="121">
        <v>1964</v>
      </c>
      <c r="G681" s="121" t="s">
        <v>43</v>
      </c>
      <c r="H681" s="121">
        <v>3</v>
      </c>
      <c r="I681" s="121">
        <v>1</v>
      </c>
      <c r="J681" s="107">
        <v>998.5</v>
      </c>
      <c r="K681" s="107">
        <v>928.6</v>
      </c>
      <c r="L681" s="107">
        <v>69.900000000000006</v>
      </c>
      <c r="M681" s="122">
        <v>43</v>
      </c>
      <c r="N681" s="123">
        <f t="shared" si="239"/>
        <v>36523083.032605998</v>
      </c>
      <c r="O681" s="107"/>
      <c r="P681" s="108">
        <v>6526236.7062411997</v>
      </c>
      <c r="Q681" s="108"/>
      <c r="R681" s="108">
        <f t="shared" si="234"/>
        <v>452296.52999999997</v>
      </c>
      <c r="S681" s="108">
        <f t="shared" si="237"/>
        <v>3846240</v>
      </c>
      <c r="T681" s="108">
        <f>+'Приложение №2'!E681-'Приложение №1'!P681-'Приложение №1'!R681-'Приложение №1'!S681</f>
        <v>25698309.796364799</v>
      </c>
      <c r="U681" s="108">
        <f t="shared" si="232"/>
        <v>39331.340763090673</v>
      </c>
      <c r="V681" s="108">
        <v>1368.2830200640001</v>
      </c>
      <c r="W681" s="135">
        <v>2024</v>
      </c>
      <c r="X681" s="28" t="e">
        <f>+#REF!-'[1]Приложение №1'!$P1174</f>
        <v>#REF!</v>
      </c>
      <c r="Z681" s="30">
        <f t="shared" si="238"/>
        <v>36927435.980000004</v>
      </c>
      <c r="AA681" s="26">
        <v>3327972.9418462794</v>
      </c>
      <c r="AB681" s="26">
        <v>2025021.9533430603</v>
      </c>
      <c r="AC681" s="26">
        <v>954219.41462316003</v>
      </c>
      <c r="AD681" s="26">
        <v>813184.43439659989</v>
      </c>
      <c r="AE681" s="26">
        <v>0</v>
      </c>
      <c r="AF681" s="26"/>
      <c r="AG681" s="26">
        <v>315453.97193603998</v>
      </c>
      <c r="AH681" s="26">
        <v>0</v>
      </c>
      <c r="AI681" s="26">
        <v>9627253.2988379989</v>
      </c>
      <c r="AJ681" s="26">
        <v>0</v>
      </c>
      <c r="AK681" s="26">
        <v>7871869.6290435605</v>
      </c>
      <c r="AL681" s="26">
        <v>7407837.5399091002</v>
      </c>
      <c r="AM681" s="26">
        <v>3508076.6171999997</v>
      </c>
      <c r="AN681" s="31">
        <v>369274.35979999998</v>
      </c>
      <c r="AO681" s="32">
        <v>707271.81906420004</v>
      </c>
      <c r="AP681" s="77">
        <f>+N681-'Приложение №2'!E681</f>
        <v>0</v>
      </c>
      <c r="AQ681" s="1">
        <v>343319.73</v>
      </c>
      <c r="AR681" s="1">
        <f t="shared" si="230"/>
        <v>108976.8</v>
      </c>
      <c r="AS681" s="1">
        <f>+(K681*10+L681*20)*12*30</f>
        <v>3846240</v>
      </c>
      <c r="AT681" s="28">
        <f t="shared" si="233"/>
        <v>0</v>
      </c>
      <c r="AU681" s="28">
        <f>+P681-'[6]Приложение №1'!$P648</f>
        <v>0</v>
      </c>
      <c r="AV681" s="28">
        <f>+Q681-'[6]Приложение №1'!$Q648</f>
        <v>0</v>
      </c>
      <c r="AW681" s="28">
        <f>+R681-'[6]Приложение №1'!$R648</f>
        <v>0</v>
      </c>
      <c r="AX681" s="28">
        <f>+S681-'[6]Приложение №1'!$S648</f>
        <v>0</v>
      </c>
      <c r="AY681" s="28">
        <f>+T681-'[6]Приложение №1'!$T648</f>
        <v>0</v>
      </c>
    </row>
    <row r="682" spans="1:51" x14ac:dyDescent="0.25">
      <c r="A682" s="139">
        <f t="shared" si="235"/>
        <v>663</v>
      </c>
      <c r="B682" s="140">
        <f t="shared" si="236"/>
        <v>201</v>
      </c>
      <c r="C682" s="120" t="s">
        <v>45</v>
      </c>
      <c r="D682" s="120" t="s">
        <v>605</v>
      </c>
      <c r="E682" s="121">
        <v>1967</v>
      </c>
      <c r="F682" s="121">
        <v>1967</v>
      </c>
      <c r="G682" s="121" t="s">
        <v>43</v>
      </c>
      <c r="H682" s="121">
        <v>3</v>
      </c>
      <c r="I682" s="121">
        <v>2</v>
      </c>
      <c r="J682" s="107">
        <v>994.3</v>
      </c>
      <c r="K682" s="107">
        <v>775.2</v>
      </c>
      <c r="L682" s="107">
        <v>168.7</v>
      </c>
      <c r="M682" s="122">
        <v>26</v>
      </c>
      <c r="N682" s="123">
        <f t="shared" si="239"/>
        <v>19329020.200000003</v>
      </c>
      <c r="O682" s="107"/>
      <c r="P682" s="108">
        <v>4845301.1875000009</v>
      </c>
      <c r="Q682" s="108"/>
      <c r="R682" s="108">
        <f>+AR682</f>
        <v>113485.2</v>
      </c>
      <c r="S682" s="108">
        <f t="shared" si="237"/>
        <v>3135863.0413666796</v>
      </c>
      <c r="T682" s="108">
        <f>+'Приложение №2'!E682-'Приложение №1'!P682-'Приложение №1'!Q682-'Приложение №1'!R682-'Приложение №1'!S682</f>
        <v>11234370.771133324</v>
      </c>
      <c r="U682" s="108">
        <f t="shared" si="232"/>
        <v>24934.23658410733</v>
      </c>
      <c r="V682" s="108">
        <v>1369.2830200640001</v>
      </c>
      <c r="W682" s="135">
        <v>2024</v>
      </c>
      <c r="X682" s="28" t="e">
        <f>+#REF!-'[1]Приложение №1'!$P1512</f>
        <v>#REF!</v>
      </c>
      <c r="Z682" s="30">
        <f t="shared" si="238"/>
        <v>34167233.340000004</v>
      </c>
      <c r="AA682" s="26">
        <v>3079218.0664572599</v>
      </c>
      <c r="AB682" s="26">
        <v>1873658.3176915799</v>
      </c>
      <c r="AC682" s="26">
        <v>882894.70095414005</v>
      </c>
      <c r="AD682" s="26">
        <v>752401.6108417199</v>
      </c>
      <c r="AE682" s="26">
        <v>0</v>
      </c>
      <c r="AF682" s="26"/>
      <c r="AG682" s="26">
        <v>291874.83960432006</v>
      </c>
      <c r="AH682" s="26">
        <v>0</v>
      </c>
      <c r="AI682" s="26">
        <v>8907648.2312202007</v>
      </c>
      <c r="AJ682" s="26">
        <v>0</v>
      </c>
      <c r="AK682" s="26">
        <v>7283473.6350293402</v>
      </c>
      <c r="AL682" s="26">
        <v>6854126.4005717998</v>
      </c>
      <c r="AM682" s="26">
        <v>3245859.5940000005</v>
      </c>
      <c r="AN682" s="31">
        <v>341672.33340000006</v>
      </c>
      <c r="AO682" s="32">
        <v>654405.61022964003</v>
      </c>
      <c r="AP682" s="77">
        <f>+N682-'Приложение №2'!E682</f>
        <v>0</v>
      </c>
      <c r="AQ682" s="28">
        <f>373291.08-R390</f>
        <v>-113485.20000000001</v>
      </c>
      <c r="AR682" s="1">
        <f t="shared" si="230"/>
        <v>113485.2</v>
      </c>
      <c r="AS682" s="1">
        <f>+(K682*10+L682*20)*12*30-S390</f>
        <v>3135863.0413666796</v>
      </c>
      <c r="AT682" s="28">
        <f t="shared" si="233"/>
        <v>0</v>
      </c>
      <c r="AU682" s="28">
        <f>+P682-'[6]Приложение №1'!$P649</f>
        <v>0</v>
      </c>
      <c r="AV682" s="28">
        <f>+Q682-'[6]Приложение №1'!$Q649</f>
        <v>0</v>
      </c>
      <c r="AW682" s="28">
        <f>+R682-'[6]Приложение №1'!$R649</f>
        <v>0</v>
      </c>
      <c r="AX682" s="28">
        <f>+S682-'[6]Приложение №1'!$S649</f>
        <v>283126.34999999963</v>
      </c>
      <c r="AY682" s="28">
        <f>+T682-'[6]Приложение №1'!$T649</f>
        <v>-283126.34999999963</v>
      </c>
    </row>
    <row r="683" spans="1:51" x14ac:dyDescent="0.25">
      <c r="A683" s="139">
        <f t="shared" si="235"/>
        <v>664</v>
      </c>
      <c r="B683" s="140">
        <f t="shared" si="236"/>
        <v>202</v>
      </c>
      <c r="C683" s="120" t="s">
        <v>45</v>
      </c>
      <c r="D683" s="120" t="s">
        <v>616</v>
      </c>
      <c r="E683" s="121">
        <v>1970</v>
      </c>
      <c r="F683" s="121">
        <v>1970</v>
      </c>
      <c r="G683" s="121" t="s">
        <v>43</v>
      </c>
      <c r="H683" s="121">
        <v>3</v>
      </c>
      <c r="I683" s="121">
        <v>3</v>
      </c>
      <c r="J683" s="107">
        <v>1002.4</v>
      </c>
      <c r="K683" s="107">
        <v>930.4</v>
      </c>
      <c r="L683" s="107">
        <v>71.8</v>
      </c>
      <c r="M683" s="122">
        <v>40</v>
      </c>
      <c r="N683" s="123">
        <f t="shared" si="239"/>
        <v>33239094.227299996</v>
      </c>
      <c r="O683" s="107"/>
      <c r="P683" s="108">
        <v>6554730.6119999988</v>
      </c>
      <c r="Q683" s="108"/>
      <c r="R683" s="108">
        <f>+AQ683+AR683</f>
        <v>497825.82</v>
      </c>
      <c r="S683" s="108">
        <f t="shared" si="237"/>
        <v>3866400</v>
      </c>
      <c r="T683" s="108">
        <f>+'Приложение №2'!E683-'Приложение №1'!P683-'Приложение №1'!R683-'Приложение №1'!S683</f>
        <v>22320137.795299996</v>
      </c>
      <c r="U683" s="108">
        <f t="shared" si="232"/>
        <v>35725.595687123816</v>
      </c>
      <c r="V683" s="108">
        <v>1370.2830200640001</v>
      </c>
      <c r="W683" s="135">
        <v>2024</v>
      </c>
      <c r="X683" s="28" t="e">
        <f>+#REF!-'[1]Приложение №1'!$P1176</f>
        <v>#REF!</v>
      </c>
      <c r="Z683" s="30">
        <f t="shared" si="238"/>
        <v>37138619.279999994</v>
      </c>
      <c r="AA683" s="26">
        <v>3347005.1922762003</v>
      </c>
      <c r="AB683" s="26">
        <v>2036602.79352348</v>
      </c>
      <c r="AC683" s="26">
        <v>959676.47271510004</v>
      </c>
      <c r="AD683" s="26">
        <v>817834.93398936011</v>
      </c>
      <c r="AE683" s="26">
        <v>0</v>
      </c>
      <c r="AF683" s="26"/>
      <c r="AG683" s="26">
        <v>317258.01868739998</v>
      </c>
      <c r="AH683" s="26">
        <v>0</v>
      </c>
      <c r="AI683" s="26">
        <v>9682310.3290956002</v>
      </c>
      <c r="AJ683" s="26">
        <v>0</v>
      </c>
      <c r="AK683" s="26">
        <v>7916887.847777158</v>
      </c>
      <c r="AL683" s="26">
        <v>7450202.0227714796</v>
      </c>
      <c r="AM683" s="26">
        <v>3528138.8598999996</v>
      </c>
      <c r="AN683" s="31">
        <v>371386.19280000002</v>
      </c>
      <c r="AO683" s="32">
        <v>711316.6164642201</v>
      </c>
      <c r="AP683" s="77">
        <f>+N683-'Приложение №2'!E683</f>
        <v>0</v>
      </c>
      <c r="AQ683" s="1">
        <v>388277.82</v>
      </c>
      <c r="AR683" s="1">
        <f t="shared" si="230"/>
        <v>109548</v>
      </c>
      <c r="AS683" s="1">
        <f>+(K683*10+L683*20)*12*30</f>
        <v>3866400</v>
      </c>
      <c r="AT683" s="28">
        <f t="shared" si="233"/>
        <v>0</v>
      </c>
      <c r="AU683" s="28">
        <f>+P683-'[6]Приложение №1'!$P650</f>
        <v>0</v>
      </c>
      <c r="AV683" s="28">
        <f>+Q683-'[6]Приложение №1'!$Q650</f>
        <v>0</v>
      </c>
      <c r="AW683" s="28">
        <f>+R683-'[6]Приложение №1'!$R650</f>
        <v>0</v>
      </c>
      <c r="AX683" s="28">
        <f>+S683-'[6]Приложение №1'!$S650</f>
        <v>0</v>
      </c>
      <c r="AY683" s="28">
        <f>+T683-'[6]Приложение №1'!$T650</f>
        <v>0</v>
      </c>
    </row>
    <row r="684" spans="1:51" x14ac:dyDescent="0.25">
      <c r="A684" s="139">
        <f t="shared" si="235"/>
        <v>665</v>
      </c>
      <c r="B684" s="140">
        <f t="shared" si="236"/>
        <v>203</v>
      </c>
      <c r="C684" s="120" t="s">
        <v>45</v>
      </c>
      <c r="D684" s="120" t="s">
        <v>606</v>
      </c>
      <c r="E684" s="121">
        <v>1974</v>
      </c>
      <c r="F684" s="121">
        <v>1974</v>
      </c>
      <c r="G684" s="121" t="s">
        <v>43</v>
      </c>
      <c r="H684" s="121">
        <v>4</v>
      </c>
      <c r="I684" s="121">
        <v>3</v>
      </c>
      <c r="J684" s="107">
        <v>1380.9</v>
      </c>
      <c r="K684" s="107">
        <v>1261.0999999999999</v>
      </c>
      <c r="L684" s="107">
        <v>0</v>
      </c>
      <c r="M684" s="122">
        <v>43</v>
      </c>
      <c r="N684" s="123">
        <f t="shared" si="239"/>
        <v>5128955.3972830009</v>
      </c>
      <c r="O684" s="107"/>
      <c r="P684" s="108">
        <v>1342375.9173957503</v>
      </c>
      <c r="Q684" s="108"/>
      <c r="R684" s="108">
        <f>+AR684</f>
        <v>128632.2</v>
      </c>
      <c r="S684" s="108">
        <f>+'Приложение №2'!E684-'Приложение №1'!P684-'Приложение №1'!R684</f>
        <v>3657947.2798872506</v>
      </c>
      <c r="T684" s="108">
        <f>+'Приложение №2'!E684-'Приложение №1'!P684-'Приложение №1'!Q684-'Приложение №1'!R684-'Приложение №1'!S684</f>
        <v>0</v>
      </c>
      <c r="U684" s="108">
        <f t="shared" si="232"/>
        <v>4067.048923386727</v>
      </c>
      <c r="V684" s="108">
        <v>1371.2830200640001</v>
      </c>
      <c r="W684" s="135">
        <v>2024</v>
      </c>
      <c r="X684" s="28" t="e">
        <f>+#REF!-'[1]Приложение №1'!$P1514</f>
        <v>#REF!</v>
      </c>
      <c r="Z684" s="30">
        <f t="shared" si="238"/>
        <v>24082184.68</v>
      </c>
      <c r="AA684" s="26">
        <v>3459603.0948952204</v>
      </c>
      <c r="AB684" s="26">
        <v>1248096.36492156</v>
      </c>
      <c r="AC684" s="26">
        <v>1303954.6600395001</v>
      </c>
      <c r="AD684" s="26">
        <v>816386.97648732003</v>
      </c>
      <c r="AE684" s="26">
        <v>0</v>
      </c>
      <c r="AF684" s="26"/>
      <c r="AG684" s="26">
        <v>124822.049583</v>
      </c>
      <c r="AH684" s="26">
        <v>0</v>
      </c>
      <c r="AI684" s="26">
        <v>6403192.8421985991</v>
      </c>
      <c r="AJ684" s="26">
        <v>838109.10532439989</v>
      </c>
      <c r="AK684" s="26">
        <v>3324589.38292698</v>
      </c>
      <c r="AL684" s="26">
        <v>3585887.05339116</v>
      </c>
      <c r="AM684" s="26">
        <v>2275205.5373000004</v>
      </c>
      <c r="AN684" s="31">
        <v>240821.8468</v>
      </c>
      <c r="AO684" s="32">
        <v>461515.76613225997</v>
      </c>
      <c r="AP684" s="77">
        <f>+N684-'Приложение №2'!E684</f>
        <v>0</v>
      </c>
      <c r="AQ684" s="28">
        <f>513292.56-R151</f>
        <v>-128632.20000000001</v>
      </c>
      <c r="AR684" s="1">
        <f t="shared" si="230"/>
        <v>128632.2</v>
      </c>
      <c r="AS684" s="1">
        <f>+(K684*10+L684*20)*12*30-S151</f>
        <v>3849750.0691816397</v>
      </c>
      <c r="AT684" s="28">
        <f t="shared" si="233"/>
        <v>-191802.78929438908</v>
      </c>
      <c r="AU684" s="28">
        <f>+P684-'[6]Приложение №1'!$P651</f>
        <v>0</v>
      </c>
      <c r="AV684" s="28">
        <f>+Q684-'[6]Приложение №1'!$Q651</f>
        <v>0</v>
      </c>
      <c r="AW684" s="28">
        <f>+R684-'[6]Приложение №1'!$R651</f>
        <v>0</v>
      </c>
      <c r="AX684" s="28">
        <f>+S684-'[6]Приложение №1'!$S651</f>
        <v>214957.20070561068</v>
      </c>
      <c r="AY684" s="28">
        <f>+T684-'[6]Приложение №1'!$T651</f>
        <v>-214957.20070561068</v>
      </c>
    </row>
    <row r="685" spans="1:51" x14ac:dyDescent="0.25">
      <c r="A685" s="139">
        <f t="shared" si="235"/>
        <v>666</v>
      </c>
      <c r="B685" s="140">
        <f t="shared" si="236"/>
        <v>204</v>
      </c>
      <c r="C685" s="120" t="s">
        <v>45</v>
      </c>
      <c r="D685" s="120" t="s">
        <v>607</v>
      </c>
      <c r="E685" s="121">
        <v>1962</v>
      </c>
      <c r="F685" s="121">
        <v>1962</v>
      </c>
      <c r="G685" s="121" t="s">
        <v>43</v>
      </c>
      <c r="H685" s="121">
        <v>3</v>
      </c>
      <c r="I685" s="121">
        <v>2</v>
      </c>
      <c r="J685" s="107">
        <v>937.1</v>
      </c>
      <c r="K685" s="107">
        <v>723.7</v>
      </c>
      <c r="L685" s="107">
        <v>213.4</v>
      </c>
      <c r="M685" s="122">
        <v>26</v>
      </c>
      <c r="N685" s="123">
        <f t="shared" si="239"/>
        <v>9473346.4440000001</v>
      </c>
      <c r="O685" s="107"/>
      <c r="P685" s="108">
        <v>2546073</v>
      </c>
      <c r="Q685" s="108"/>
      <c r="R685" s="108">
        <f>+AR685</f>
        <v>117351</v>
      </c>
      <c r="S685" s="108">
        <f t="shared" si="237"/>
        <v>3249806.9578032</v>
      </c>
      <c r="T685" s="108">
        <f>+'Приложение №2'!E685-'Приложение №1'!P685-'Приложение №1'!Q685-'Приложение №1'!R685-'Приложение №1'!S685</f>
        <v>3560115.4861968001</v>
      </c>
      <c r="U685" s="108">
        <f t="shared" si="232"/>
        <v>13090.156755561697</v>
      </c>
      <c r="V685" s="108">
        <v>1372.2830200640001</v>
      </c>
      <c r="W685" s="135">
        <v>2024</v>
      </c>
      <c r="X685" s="28" t="e">
        <f>+#REF!-'[1]Приложение №1'!$P1515</f>
        <v>#REF!</v>
      </c>
      <c r="Z685" s="30">
        <f t="shared" si="238"/>
        <v>26675784</v>
      </c>
      <c r="AA685" s="26">
        <v>2404073.9634912</v>
      </c>
      <c r="AB685" s="26">
        <v>1462843.1901888</v>
      </c>
      <c r="AC685" s="26">
        <v>689312.71110239998</v>
      </c>
      <c r="AD685" s="26">
        <v>587431.31489280006</v>
      </c>
      <c r="AE685" s="26">
        <v>0</v>
      </c>
      <c r="AF685" s="26"/>
      <c r="AG685" s="26">
        <v>227878.8628032</v>
      </c>
      <c r="AH685" s="26">
        <v>0</v>
      </c>
      <c r="AI685" s="26">
        <v>6954572.4655679995</v>
      </c>
      <c r="AJ685" s="26">
        <v>0</v>
      </c>
      <c r="AK685" s="26">
        <v>5686511.6200032001</v>
      </c>
      <c r="AL685" s="26">
        <v>5351302.3282992002</v>
      </c>
      <c r="AM685" s="26">
        <v>2534177.952</v>
      </c>
      <c r="AN685" s="31">
        <v>266757.84000000003</v>
      </c>
      <c r="AO685" s="32">
        <v>510921.75165120006</v>
      </c>
      <c r="AP685" s="77">
        <f>+N685-'Приложение №2'!E685</f>
        <v>0</v>
      </c>
      <c r="AQ685" s="28">
        <f>294416.56-R152</f>
        <v>101159.12</v>
      </c>
      <c r="AR685" s="1">
        <f t="shared" si="230"/>
        <v>117351</v>
      </c>
      <c r="AS685" s="1">
        <f>+(K685*10+L685*20)*12*30-S152</f>
        <v>3249806.9578032</v>
      </c>
      <c r="AT685" s="28">
        <f t="shared" si="233"/>
        <v>0</v>
      </c>
      <c r="AU685" s="28">
        <f>+P685-'[6]Приложение №1'!$P652</f>
        <v>0</v>
      </c>
      <c r="AV685" s="28">
        <f>+Q685-'[6]Приложение №1'!$Q652</f>
        <v>0</v>
      </c>
      <c r="AW685" s="28">
        <f>+R685-'[6]Приложение №1'!$R652</f>
        <v>0</v>
      </c>
      <c r="AX685" s="28">
        <f>+S685-'[6]Приложение №1'!$S652</f>
        <v>1470538.8199999998</v>
      </c>
      <c r="AY685" s="28">
        <f>+T685-'[6]Приложение №1'!$T652</f>
        <v>-1470538.8199999994</v>
      </c>
    </row>
    <row r="686" spans="1:51" x14ac:dyDescent="0.25">
      <c r="A686" s="139">
        <f t="shared" si="235"/>
        <v>667</v>
      </c>
      <c r="B686" s="140">
        <f t="shared" si="236"/>
        <v>205</v>
      </c>
      <c r="C686" s="120" t="s">
        <v>45</v>
      </c>
      <c r="D686" s="120" t="s">
        <v>617</v>
      </c>
      <c r="E686" s="121">
        <v>1973</v>
      </c>
      <c r="F686" s="121">
        <v>1973</v>
      </c>
      <c r="G686" s="121" t="s">
        <v>43</v>
      </c>
      <c r="H686" s="121">
        <v>4</v>
      </c>
      <c r="I686" s="121">
        <v>1</v>
      </c>
      <c r="J686" s="107">
        <v>1419.3</v>
      </c>
      <c r="K686" s="107">
        <v>1084.2</v>
      </c>
      <c r="L686" s="107">
        <v>165.8</v>
      </c>
      <c r="M686" s="122">
        <v>48</v>
      </c>
      <c r="N686" s="123">
        <f t="shared" si="239"/>
        <v>18198573.6325</v>
      </c>
      <c r="O686" s="107"/>
      <c r="P686" s="108">
        <v>3168000.6575000002</v>
      </c>
      <c r="Q686" s="108"/>
      <c r="R686" s="108">
        <f t="shared" ref="R686:R709" si="240">+AQ686+AR686</f>
        <v>676632.91</v>
      </c>
      <c r="S686" s="108">
        <f t="shared" si="237"/>
        <v>5096880</v>
      </c>
      <c r="T686" s="108">
        <f>+'Приложение №2'!E686-'Приложение №1'!P686-'Приложение №1'!R686-'Приложение №1'!S686</f>
        <v>9257060.0649999995</v>
      </c>
      <c r="U686" s="108">
        <f t="shared" si="232"/>
        <v>16785.255148957756</v>
      </c>
      <c r="V686" s="108">
        <v>1373.2830200640001</v>
      </c>
      <c r="W686" s="135">
        <v>2024</v>
      </c>
      <c r="X686" s="28" t="e">
        <f>+#REF!-'[1]Приложение №1'!$P1179</f>
        <v>#REF!</v>
      </c>
      <c r="Z686" s="30">
        <f t="shared" si="238"/>
        <v>23254292.520000007</v>
      </c>
      <c r="AA686" s="26">
        <v>3340669.60738602</v>
      </c>
      <c r="AB686" s="26">
        <v>1205189.5738415401</v>
      </c>
      <c r="AC686" s="26">
        <v>1259127.5895802802</v>
      </c>
      <c r="AD686" s="26">
        <v>788321.39941547997</v>
      </c>
      <c r="AE686" s="26">
        <v>0</v>
      </c>
      <c r="AF686" s="26"/>
      <c r="AG686" s="26">
        <v>120530.94592896002</v>
      </c>
      <c r="AH686" s="26">
        <v>0</v>
      </c>
      <c r="AI686" s="26">
        <v>6183065.2576392004</v>
      </c>
      <c r="AJ686" s="26">
        <v>809296.77121649997</v>
      </c>
      <c r="AK686" s="26">
        <v>3210297.3642940195</v>
      </c>
      <c r="AL686" s="26">
        <v>3462612.1981025399</v>
      </c>
      <c r="AM686" s="26">
        <v>2196989.0109000001</v>
      </c>
      <c r="AN686" s="31">
        <v>232542.92520000003</v>
      </c>
      <c r="AO686" s="32">
        <v>445649.87649546011</v>
      </c>
      <c r="AP686" s="77">
        <f>+N686-'Приложение №2'!E686</f>
        <v>0</v>
      </c>
      <c r="AQ686" s="1">
        <v>532221.31000000006</v>
      </c>
      <c r="AR686" s="1">
        <f t="shared" si="230"/>
        <v>144411.6</v>
      </c>
      <c r="AS686" s="1">
        <f t="shared" ref="AS686:AS692" si="241">+(K686*10+L686*20)*12*30</f>
        <v>5096880</v>
      </c>
      <c r="AT686" s="28">
        <f t="shared" si="233"/>
        <v>0</v>
      </c>
      <c r="AU686" s="28">
        <f>+P686-'[6]Приложение №1'!$P653</f>
        <v>0</v>
      </c>
      <c r="AV686" s="28">
        <f>+Q686-'[6]Приложение №1'!$Q653</f>
        <v>0</v>
      </c>
      <c r="AW686" s="28">
        <f>+R686-'[6]Приложение №1'!$R653</f>
        <v>0</v>
      </c>
      <c r="AX686" s="28">
        <f>+S686-'[6]Приложение №1'!$S653</f>
        <v>0</v>
      </c>
      <c r="AY686" s="28">
        <f>+T686-'[6]Приложение №1'!$T653</f>
        <v>0</v>
      </c>
    </row>
    <row r="687" spans="1:51" x14ac:dyDescent="0.25">
      <c r="A687" s="139">
        <f t="shared" si="235"/>
        <v>668</v>
      </c>
      <c r="B687" s="140">
        <f t="shared" si="236"/>
        <v>206</v>
      </c>
      <c r="C687" s="120" t="s">
        <v>45</v>
      </c>
      <c r="D687" s="120" t="s">
        <v>618</v>
      </c>
      <c r="E687" s="121">
        <v>1977</v>
      </c>
      <c r="F687" s="121">
        <v>1977</v>
      </c>
      <c r="G687" s="121" t="s">
        <v>43</v>
      </c>
      <c r="H687" s="121">
        <v>4</v>
      </c>
      <c r="I687" s="121">
        <v>1</v>
      </c>
      <c r="J687" s="107">
        <v>1434.1</v>
      </c>
      <c r="K687" s="107">
        <v>1287.5999999999999</v>
      </c>
      <c r="L687" s="107">
        <v>100.6</v>
      </c>
      <c r="M687" s="122">
        <v>46</v>
      </c>
      <c r="N687" s="123">
        <f t="shared" si="239"/>
        <v>18481458.828001961</v>
      </c>
      <c r="O687" s="107"/>
      <c r="P687" s="108">
        <v>3371309.4466504906</v>
      </c>
      <c r="Q687" s="108"/>
      <c r="R687" s="108">
        <f t="shared" si="240"/>
        <v>647651.78</v>
      </c>
      <c r="S687" s="108">
        <f t="shared" si="237"/>
        <v>5359680</v>
      </c>
      <c r="T687" s="108">
        <f>+'Приложение №2'!E687-'Приложение №1'!P687-'Приложение №1'!R687-'Приложение №1'!S687</f>
        <v>9102817.6013514716</v>
      </c>
      <c r="U687" s="108">
        <f t="shared" si="232"/>
        <v>14353.416300094721</v>
      </c>
      <c r="V687" s="108">
        <v>1374.2830200640001</v>
      </c>
      <c r="W687" s="135">
        <v>2024</v>
      </c>
      <c r="X687" s="28" t="e">
        <f>+#REF!-'[1]Приложение №1'!$P1552</f>
        <v>#REF!</v>
      </c>
      <c r="Z687" s="30">
        <f t="shared" si="238"/>
        <v>23517143.800000001</v>
      </c>
      <c r="AA687" s="26">
        <v>3661472.2518719994</v>
      </c>
      <c r="AB687" s="26">
        <v>1317876.0443460001</v>
      </c>
      <c r="AC687" s="26">
        <v>1401977.6916540002</v>
      </c>
      <c r="AD687" s="26">
        <v>886159.65735600004</v>
      </c>
      <c r="AE687" s="26">
        <v>0</v>
      </c>
      <c r="AF687" s="26"/>
      <c r="AG687" s="26">
        <v>124380.97009799999</v>
      </c>
      <c r="AH687" s="26">
        <v>0</v>
      </c>
      <c r="AI687" s="26">
        <v>6856026.5788080012</v>
      </c>
      <c r="AJ687" s="26">
        <v>848379.40495800006</v>
      </c>
      <c r="AK687" s="26">
        <v>3566453.5386839998</v>
      </c>
      <c r="AL687" s="26">
        <v>3838143.5148840002</v>
      </c>
      <c r="AM687" s="26">
        <v>460066.39</v>
      </c>
      <c r="AN687" s="26">
        <v>64159.31</v>
      </c>
      <c r="AO687" s="32">
        <v>492048.44734000007</v>
      </c>
      <c r="AP687" s="77">
        <f>+N687-'Приложение №2'!E687</f>
        <v>0</v>
      </c>
      <c r="AQ687" s="1">
        <v>495794.18</v>
      </c>
      <c r="AR687" s="1">
        <f t="shared" si="230"/>
        <v>151857.60000000001</v>
      </c>
      <c r="AS687" s="1">
        <f t="shared" si="241"/>
        <v>5359680</v>
      </c>
      <c r="AT687" s="28">
        <f t="shared" si="233"/>
        <v>0</v>
      </c>
      <c r="AU687" s="28">
        <f>+P687-'[6]Приложение №1'!$P654</f>
        <v>0</v>
      </c>
      <c r="AV687" s="28">
        <f>+Q687-'[6]Приложение №1'!$Q654</f>
        <v>0</v>
      </c>
      <c r="AW687" s="28">
        <f>+R687-'[6]Приложение №1'!$R654</f>
        <v>0</v>
      </c>
      <c r="AX687" s="28">
        <f>+S687-'[6]Приложение №1'!$S654</f>
        <v>0</v>
      </c>
      <c r="AY687" s="28">
        <f>+T687-'[6]Приложение №1'!$T654</f>
        <v>0</v>
      </c>
    </row>
    <row r="688" spans="1:51" x14ac:dyDescent="0.25">
      <c r="A688" s="139">
        <f t="shared" si="235"/>
        <v>669</v>
      </c>
      <c r="B688" s="140">
        <f t="shared" si="236"/>
        <v>207</v>
      </c>
      <c r="C688" s="120" t="s">
        <v>45</v>
      </c>
      <c r="D688" s="120" t="s">
        <v>619</v>
      </c>
      <c r="E688" s="121">
        <v>1975</v>
      </c>
      <c r="F688" s="121">
        <v>1975</v>
      </c>
      <c r="G688" s="121" t="s">
        <v>43</v>
      </c>
      <c r="H688" s="121">
        <v>5</v>
      </c>
      <c r="I688" s="121">
        <v>5</v>
      </c>
      <c r="J688" s="107">
        <v>3670.4</v>
      </c>
      <c r="K688" s="107">
        <v>2958</v>
      </c>
      <c r="L688" s="107">
        <v>417.2</v>
      </c>
      <c r="M688" s="122">
        <v>116</v>
      </c>
      <c r="N688" s="123">
        <f t="shared" si="239"/>
        <v>52108784.005023412</v>
      </c>
      <c r="O688" s="107"/>
      <c r="P688" s="108">
        <v>6983424.6841790471</v>
      </c>
      <c r="Q688" s="108"/>
      <c r="R688" s="108">
        <f t="shared" si="240"/>
        <v>1837349.24</v>
      </c>
      <c r="S688" s="108">
        <f t="shared" si="237"/>
        <v>13652640</v>
      </c>
      <c r="T688" s="108">
        <f>+'Приложение №2'!E688-'Приложение №1'!P688-'Приложение №1'!R688-'Приложение №1'!S688</f>
        <v>29635370.080844365</v>
      </c>
      <c r="U688" s="108">
        <f t="shared" si="232"/>
        <v>17616.221773165453</v>
      </c>
      <c r="V688" s="108">
        <v>1375.2830200640001</v>
      </c>
      <c r="W688" s="135">
        <v>2024</v>
      </c>
      <c r="X688" s="28" t="e">
        <f>+#REF!-'[1]Приложение №1'!$P1554</f>
        <v>#REF!</v>
      </c>
      <c r="Z688" s="30">
        <f t="shared" si="238"/>
        <v>63008068.420000002</v>
      </c>
      <c r="AA688" s="26">
        <v>10289263.558588</v>
      </c>
      <c r="AB688" s="26">
        <v>3743156.0614419999</v>
      </c>
      <c r="AC688" s="26">
        <v>3946478.5112620001</v>
      </c>
      <c r="AD688" s="26">
        <v>2525477.5150359999</v>
      </c>
      <c r="AE688" s="26">
        <v>0</v>
      </c>
      <c r="AF688" s="26"/>
      <c r="AG688" s="26">
        <v>347116.72035600001</v>
      </c>
      <c r="AH688" s="26">
        <v>0</v>
      </c>
      <c r="AI688" s="26">
        <v>19311206.205424</v>
      </c>
      <c r="AJ688" s="26">
        <v>0</v>
      </c>
      <c r="AK688" s="26">
        <v>10034931.104254002</v>
      </c>
      <c r="AL688" s="26">
        <v>10831078.675998004</v>
      </c>
      <c r="AM688" s="26">
        <v>572156.82000000007</v>
      </c>
      <c r="AN688" s="26">
        <v>72629</v>
      </c>
      <c r="AO688" s="32">
        <v>1334574.2476400002</v>
      </c>
      <c r="AP688" s="77">
        <f>+N688-'Приложение №2'!E688</f>
        <v>0</v>
      </c>
      <c r="AQ688" s="1">
        <v>1450524.44</v>
      </c>
      <c r="AR688" s="1">
        <f t="shared" si="230"/>
        <v>386824.8</v>
      </c>
      <c r="AS688" s="1">
        <f t="shared" si="241"/>
        <v>13652640</v>
      </c>
      <c r="AT688" s="28">
        <f t="shared" si="233"/>
        <v>0</v>
      </c>
      <c r="AU688" s="28">
        <f>+P688-'[6]Приложение №1'!$P655</f>
        <v>0</v>
      </c>
      <c r="AV688" s="28">
        <f>+Q688-'[6]Приложение №1'!$Q655</f>
        <v>0</v>
      </c>
      <c r="AW688" s="28">
        <f>+R688-'[6]Приложение №1'!$R655</f>
        <v>0</v>
      </c>
      <c r="AX688" s="28">
        <f>+S688-'[6]Приложение №1'!$S655</f>
        <v>0</v>
      </c>
      <c r="AY688" s="28">
        <f>+T688-'[6]Приложение №1'!$T655</f>
        <v>0</v>
      </c>
    </row>
    <row r="689" spans="1:51" x14ac:dyDescent="0.25">
      <c r="A689" s="139">
        <f t="shared" si="235"/>
        <v>670</v>
      </c>
      <c r="B689" s="140">
        <f t="shared" si="236"/>
        <v>208</v>
      </c>
      <c r="C689" s="120" t="s">
        <v>45</v>
      </c>
      <c r="D689" s="120" t="s">
        <v>620</v>
      </c>
      <c r="E689" s="121">
        <v>1976</v>
      </c>
      <c r="F689" s="121">
        <v>1976</v>
      </c>
      <c r="G689" s="121" t="s">
        <v>43</v>
      </c>
      <c r="H689" s="121">
        <v>5</v>
      </c>
      <c r="I689" s="121">
        <v>5</v>
      </c>
      <c r="J689" s="107">
        <v>3760.4</v>
      </c>
      <c r="K689" s="107">
        <v>2861.4</v>
      </c>
      <c r="L689" s="107">
        <v>798.2</v>
      </c>
      <c r="M689" s="122">
        <v>103</v>
      </c>
      <c r="N689" s="123">
        <f t="shared" si="239"/>
        <v>53282617.340654321</v>
      </c>
      <c r="O689" s="107"/>
      <c r="P689" s="108">
        <v>7052461.9983708654</v>
      </c>
      <c r="Q689" s="108"/>
      <c r="R689" s="108">
        <f t="shared" si="240"/>
        <v>1767334.38</v>
      </c>
      <c r="S689" s="108">
        <f t="shared" si="237"/>
        <v>16048080</v>
      </c>
      <c r="T689" s="108">
        <f>+'Приложение №2'!E689-'Приложение №1'!P689-'Приложение №1'!R689-'Приложение №1'!S689</f>
        <v>28414740.962283455</v>
      </c>
      <c r="U689" s="108">
        <f t="shared" si="232"/>
        <v>18621.170525146543</v>
      </c>
      <c r="V689" s="108">
        <v>1376.2830200640001</v>
      </c>
      <c r="W689" s="135">
        <v>2024</v>
      </c>
      <c r="X689" s="28" t="e">
        <f>+#REF!-'[1]Приложение №1'!$P1555</f>
        <v>#REF!</v>
      </c>
      <c r="Z689" s="30">
        <f t="shared" si="238"/>
        <v>64553057.020000003</v>
      </c>
      <c r="AA689" s="26">
        <v>10537075.366258001</v>
      </c>
      <c r="AB689" s="26">
        <v>3835013.4758320004</v>
      </c>
      <c r="AC689" s="26">
        <v>4042843.3866100004</v>
      </c>
      <c r="AD689" s="26">
        <v>2587058.6111860005</v>
      </c>
      <c r="AE689" s="26">
        <v>0</v>
      </c>
      <c r="AF689" s="26"/>
      <c r="AG689" s="26">
        <v>355628.19171599997</v>
      </c>
      <c r="AH689" s="26">
        <v>0</v>
      </c>
      <c r="AI689" s="26">
        <v>19695633.831831999</v>
      </c>
      <c r="AJ689" s="26">
        <v>0</v>
      </c>
      <c r="AK689" s="26">
        <v>10278986.262244001</v>
      </c>
      <c r="AL689" s="26">
        <v>11095009.757790001</v>
      </c>
      <c r="AM689" s="26">
        <v>686396.29</v>
      </c>
      <c r="AN689" s="26">
        <v>74254.350000000006</v>
      </c>
      <c r="AO689" s="32">
        <v>1365157.4965319997</v>
      </c>
      <c r="AP689" s="77">
        <f>+N689-'Приложение №2'!E689</f>
        <v>0</v>
      </c>
      <c r="AQ689" s="1">
        <v>1312638.78</v>
      </c>
      <c r="AR689" s="1">
        <f t="shared" si="230"/>
        <v>454695.6</v>
      </c>
      <c r="AS689" s="1">
        <f t="shared" si="241"/>
        <v>16048080</v>
      </c>
      <c r="AT689" s="28">
        <f t="shared" si="233"/>
        <v>0</v>
      </c>
      <c r="AU689" s="28">
        <f>+P689-'[6]Приложение №1'!$P656</f>
        <v>0</v>
      </c>
      <c r="AV689" s="28">
        <f>+Q689-'[6]Приложение №1'!$Q656</f>
        <v>0</v>
      </c>
      <c r="AW689" s="28">
        <f>+R689-'[6]Приложение №1'!$R656</f>
        <v>0</v>
      </c>
      <c r="AX689" s="28">
        <f>+S689-'[6]Приложение №1'!$S656</f>
        <v>0</v>
      </c>
      <c r="AY689" s="28">
        <f>+T689-'[6]Приложение №1'!$T656</f>
        <v>0</v>
      </c>
    </row>
    <row r="690" spans="1:51" x14ac:dyDescent="0.25">
      <c r="A690" s="139">
        <f t="shared" si="235"/>
        <v>671</v>
      </c>
      <c r="B690" s="140">
        <f t="shared" si="236"/>
        <v>209</v>
      </c>
      <c r="C690" s="120" t="s">
        <v>45</v>
      </c>
      <c r="D690" s="120" t="s">
        <v>621</v>
      </c>
      <c r="E690" s="121">
        <v>1977</v>
      </c>
      <c r="F690" s="121">
        <v>1977</v>
      </c>
      <c r="G690" s="121" t="s">
        <v>43</v>
      </c>
      <c r="H690" s="121">
        <v>4</v>
      </c>
      <c r="I690" s="121">
        <v>1</v>
      </c>
      <c r="J690" s="107">
        <v>1491.2</v>
      </c>
      <c r="K690" s="107">
        <v>1247.2</v>
      </c>
      <c r="L690" s="107">
        <v>130.5</v>
      </c>
      <c r="M690" s="122">
        <v>31</v>
      </c>
      <c r="N690" s="123">
        <f t="shared" si="239"/>
        <v>19313313.5727886</v>
      </c>
      <c r="O690" s="107"/>
      <c r="P690" s="108">
        <v>3961606.8484471501</v>
      </c>
      <c r="Q690" s="108"/>
      <c r="R690" s="108">
        <f t="shared" si="240"/>
        <v>567325.17000000004</v>
      </c>
      <c r="S690" s="108">
        <f t="shared" si="237"/>
        <v>5429520</v>
      </c>
      <c r="T690" s="108">
        <f>+'Приложение №2'!E690-'Приложение №1'!P690-'Приложение №1'!R690-'Приложение №1'!S690</f>
        <v>9354861.5543414503</v>
      </c>
      <c r="U690" s="108">
        <f t="shared" si="232"/>
        <v>15485.338015385343</v>
      </c>
      <c r="V690" s="108">
        <v>1377.2830200640001</v>
      </c>
      <c r="W690" s="135">
        <v>2024</v>
      </c>
      <c r="X690" s="28" t="e">
        <f>+#REF!-'[1]Приложение №1'!$P1556</f>
        <v>#REF!</v>
      </c>
      <c r="Z690" s="30">
        <f t="shared" si="238"/>
        <v>24547091.719999999</v>
      </c>
      <c r="AA690" s="26">
        <v>3823646.7931139995</v>
      </c>
      <c r="AB690" s="26">
        <v>1377432.691104</v>
      </c>
      <c r="AC690" s="26">
        <v>1464223.795434</v>
      </c>
      <c r="AD690" s="26">
        <v>926339.45652600005</v>
      </c>
      <c r="AE690" s="26">
        <v>0</v>
      </c>
      <c r="AF690" s="26"/>
      <c r="AG690" s="26">
        <v>129828.30785400001</v>
      </c>
      <c r="AH690" s="26">
        <v>0</v>
      </c>
      <c r="AI690" s="26">
        <v>7205871.6359640006</v>
      </c>
      <c r="AJ690" s="26">
        <v>887837.01690000005</v>
      </c>
      <c r="AK690" s="26">
        <v>3723413.4532499993</v>
      </c>
      <c r="AL690" s="26">
        <v>4008332.672693999</v>
      </c>
      <c r="AM690" s="26">
        <v>421405.55000000005</v>
      </c>
      <c r="AN690" s="26">
        <v>63836.770000000004</v>
      </c>
      <c r="AO690" s="32">
        <v>514923.57715999999</v>
      </c>
      <c r="AP690" s="77">
        <f>+N690-'Приложение №2'!E690</f>
        <v>0</v>
      </c>
      <c r="AQ690" s="1">
        <v>413488.77</v>
      </c>
      <c r="AR690" s="1">
        <f t="shared" si="230"/>
        <v>153836.4</v>
      </c>
      <c r="AS690" s="1">
        <f t="shared" si="241"/>
        <v>5429520</v>
      </c>
      <c r="AT690" s="28">
        <f t="shared" si="233"/>
        <v>0</v>
      </c>
      <c r="AU690" s="28">
        <f>+P690-'[6]Приложение №1'!$P657</f>
        <v>0</v>
      </c>
      <c r="AV690" s="28">
        <f>+Q690-'[6]Приложение №1'!$Q657</f>
        <v>0</v>
      </c>
      <c r="AW690" s="28">
        <f>+R690-'[6]Приложение №1'!$R657</f>
        <v>0</v>
      </c>
      <c r="AX690" s="28">
        <f>+S690-'[6]Приложение №1'!$S657</f>
        <v>0</v>
      </c>
      <c r="AY690" s="28">
        <f>+T690-'[6]Приложение №1'!$T657</f>
        <v>0</v>
      </c>
    </row>
    <row r="691" spans="1:51" x14ac:dyDescent="0.25">
      <c r="A691" s="139">
        <f t="shared" si="235"/>
        <v>672</v>
      </c>
      <c r="B691" s="140">
        <f t="shared" si="236"/>
        <v>210</v>
      </c>
      <c r="C691" s="120" t="s">
        <v>45</v>
      </c>
      <c r="D691" s="120" t="s">
        <v>622</v>
      </c>
      <c r="E691" s="121">
        <v>1979</v>
      </c>
      <c r="F691" s="121">
        <v>1979</v>
      </c>
      <c r="G691" s="121" t="s">
        <v>43</v>
      </c>
      <c r="H691" s="121">
        <v>5</v>
      </c>
      <c r="I691" s="121">
        <v>4</v>
      </c>
      <c r="J691" s="107">
        <v>3568.8</v>
      </c>
      <c r="K691" s="107">
        <v>2956.3</v>
      </c>
      <c r="L691" s="107">
        <v>398.4</v>
      </c>
      <c r="M691" s="122">
        <v>89</v>
      </c>
      <c r="N691" s="123">
        <f t="shared" si="239"/>
        <v>46230178.072141826</v>
      </c>
      <c r="O691" s="107"/>
      <c r="P691" s="108">
        <v>6585721.5913083674</v>
      </c>
      <c r="Q691" s="108"/>
      <c r="R691" s="108">
        <f t="shared" si="240"/>
        <v>1681347.92</v>
      </c>
      <c r="S691" s="108">
        <f t="shared" si="237"/>
        <v>13511160</v>
      </c>
      <c r="T691" s="108">
        <f>+'Приложение №2'!E691-'Приложение №1'!P691-'Приложение №1'!R691-'Приложение №1'!S691</f>
        <v>24451948.560833462</v>
      </c>
      <c r="U691" s="108">
        <f t="shared" si="232"/>
        <v>15637.850716145798</v>
      </c>
      <c r="V691" s="108">
        <v>1378.2830200640001</v>
      </c>
      <c r="W691" s="135">
        <v>2024</v>
      </c>
      <c r="X691" s="28" t="e">
        <f>+#REF!-'[1]Приложение №1'!$P1557</f>
        <v>#REF!</v>
      </c>
      <c r="Z691" s="30">
        <f t="shared" si="238"/>
        <v>58415569.579999998</v>
      </c>
      <c r="AA691" s="26">
        <v>9150018.9223740008</v>
      </c>
      <c r="AB691" s="26">
        <v>3322771.2370799994</v>
      </c>
      <c r="AC691" s="26">
        <v>3507760.1149860001</v>
      </c>
      <c r="AD691" s="26">
        <v>2240831.5174499997</v>
      </c>
      <c r="AE691" s="26">
        <v>0</v>
      </c>
      <c r="AF691" s="26"/>
      <c r="AG691" s="26">
        <v>308956.957092</v>
      </c>
      <c r="AH691" s="26">
        <v>0</v>
      </c>
      <c r="AI691" s="26">
        <v>17090431.012025997</v>
      </c>
      <c r="AJ691" s="26">
        <v>2174763.3641519998</v>
      </c>
      <c r="AK691" s="26">
        <v>8910518.0415660013</v>
      </c>
      <c r="AL691" s="26">
        <v>9620247.9809520002</v>
      </c>
      <c r="AM691" s="26">
        <v>780893.53</v>
      </c>
      <c r="AN691" s="26">
        <v>76634.820000000007</v>
      </c>
      <c r="AO691" s="32">
        <v>1231742.0823220001</v>
      </c>
      <c r="AP691" s="77">
        <f>+N691-'Приложение №2'!E691</f>
        <v>0</v>
      </c>
      <c r="AQ691" s="1">
        <v>1298531.72</v>
      </c>
      <c r="AR691" s="1">
        <f t="shared" si="230"/>
        <v>382816.2</v>
      </c>
      <c r="AS691" s="1">
        <f t="shared" si="241"/>
        <v>13511160</v>
      </c>
      <c r="AT691" s="28">
        <f t="shared" si="233"/>
        <v>0</v>
      </c>
      <c r="AU691" s="28">
        <f>+P691-'[6]Приложение №1'!$P658</f>
        <v>0</v>
      </c>
      <c r="AV691" s="28">
        <f>+Q691-'[6]Приложение №1'!$Q658</f>
        <v>0</v>
      </c>
      <c r="AW691" s="28">
        <f>+R691-'[6]Приложение №1'!$R658</f>
        <v>0</v>
      </c>
      <c r="AX691" s="28">
        <f>+S691-'[6]Приложение №1'!$S658</f>
        <v>0</v>
      </c>
      <c r="AY691" s="28">
        <f>+T691-'[6]Приложение №1'!$T658</f>
        <v>0</v>
      </c>
    </row>
    <row r="692" spans="1:51" x14ac:dyDescent="0.25">
      <c r="A692" s="139">
        <f t="shared" si="235"/>
        <v>673</v>
      </c>
      <c r="B692" s="140">
        <f t="shared" si="236"/>
        <v>211</v>
      </c>
      <c r="C692" s="120" t="s">
        <v>45</v>
      </c>
      <c r="D692" s="120" t="s">
        <v>623</v>
      </c>
      <c r="E692" s="121">
        <v>1975</v>
      </c>
      <c r="F692" s="121">
        <v>1975</v>
      </c>
      <c r="G692" s="121" t="s">
        <v>43</v>
      </c>
      <c r="H692" s="121">
        <v>4</v>
      </c>
      <c r="I692" s="121">
        <v>1</v>
      </c>
      <c r="J692" s="107">
        <v>1425.2</v>
      </c>
      <c r="K692" s="107">
        <v>1131.8</v>
      </c>
      <c r="L692" s="107">
        <v>129.9</v>
      </c>
      <c r="M692" s="122">
        <v>56</v>
      </c>
      <c r="N692" s="123">
        <f t="shared" si="239"/>
        <v>18372220.31548094</v>
      </c>
      <c r="O692" s="107"/>
      <c r="P692" s="108">
        <v>3367479.3183452347</v>
      </c>
      <c r="Q692" s="108"/>
      <c r="R692" s="108">
        <f t="shared" si="240"/>
        <v>623128.77</v>
      </c>
      <c r="S692" s="108">
        <f t="shared" si="237"/>
        <v>5009760</v>
      </c>
      <c r="T692" s="108">
        <f>+'Приложение №2'!E692-'Приложение №1'!P692-'Приложение №1'!R692-'Приложение №1'!S692</f>
        <v>9371852.2271357067</v>
      </c>
      <c r="U692" s="108">
        <f t="shared" si="232"/>
        <v>16232.744579855929</v>
      </c>
      <c r="V692" s="108">
        <v>1379.2830200640001</v>
      </c>
      <c r="W692" s="135">
        <v>2024</v>
      </c>
      <c r="X692" s="28" t="e">
        <f>+#REF!-'[1]Приложение №1'!$P1558</f>
        <v>#REF!</v>
      </c>
      <c r="Z692" s="30">
        <f t="shared" si="238"/>
        <v>23375883.600000001</v>
      </c>
      <c r="AA692" s="26">
        <v>3639720.4511280004</v>
      </c>
      <c r="AB692" s="26">
        <v>1310198.586234</v>
      </c>
      <c r="AC692" s="26">
        <v>1393886.8533300001</v>
      </c>
      <c r="AD692" s="26">
        <v>881139.78326399997</v>
      </c>
      <c r="AE692" s="26">
        <v>0</v>
      </c>
      <c r="AF692" s="26"/>
      <c r="AG692" s="26">
        <v>123633.848142</v>
      </c>
      <c r="AH692" s="26">
        <v>0</v>
      </c>
      <c r="AI692" s="26">
        <v>6816774.9733499996</v>
      </c>
      <c r="AJ692" s="26">
        <v>840779.69661599991</v>
      </c>
      <c r="AK692" s="26">
        <v>3546979.2826500004</v>
      </c>
      <c r="AL692" s="26">
        <v>3815904.5950200004</v>
      </c>
      <c r="AM692" s="26">
        <v>455993.49</v>
      </c>
      <c r="AN692" s="26">
        <v>61706.92</v>
      </c>
      <c r="AO692" s="32">
        <v>489165.12026600004</v>
      </c>
      <c r="AP692" s="77">
        <f>+N692-'Приложение №2'!E692</f>
        <v>0</v>
      </c>
      <c r="AQ692" s="1">
        <v>481185.57</v>
      </c>
      <c r="AR692" s="1">
        <f t="shared" si="230"/>
        <v>141943.19999999998</v>
      </c>
      <c r="AS692" s="1">
        <f t="shared" si="241"/>
        <v>5009760</v>
      </c>
      <c r="AT692" s="28">
        <f t="shared" si="233"/>
        <v>0</v>
      </c>
      <c r="AU692" s="28">
        <f>+P692-'[6]Приложение №1'!$P659</f>
        <v>0</v>
      </c>
      <c r="AV692" s="28">
        <f>+Q692-'[6]Приложение №1'!$Q659</f>
        <v>0</v>
      </c>
      <c r="AW692" s="28">
        <f>+R692-'[6]Приложение №1'!$R659</f>
        <v>0</v>
      </c>
      <c r="AX692" s="28">
        <f>+S692-'[6]Приложение №1'!$S659</f>
        <v>0</v>
      </c>
      <c r="AY692" s="28">
        <f>+T692-'[6]Приложение №1'!$T659</f>
        <v>0</v>
      </c>
    </row>
    <row r="693" spans="1:51" x14ac:dyDescent="0.25">
      <c r="A693" s="139">
        <f t="shared" si="235"/>
        <v>674</v>
      </c>
      <c r="B693" s="140">
        <f t="shared" si="236"/>
        <v>212</v>
      </c>
      <c r="C693" s="120" t="s">
        <v>46</v>
      </c>
      <c r="D693" s="120" t="s">
        <v>657</v>
      </c>
      <c r="E693" s="121">
        <v>1967</v>
      </c>
      <c r="F693" s="121">
        <v>2010</v>
      </c>
      <c r="G693" s="121" t="s">
        <v>43</v>
      </c>
      <c r="H693" s="121">
        <v>4</v>
      </c>
      <c r="I693" s="121">
        <v>6</v>
      </c>
      <c r="J693" s="107">
        <v>4129.8999999999996</v>
      </c>
      <c r="K693" s="107">
        <v>3028.01</v>
      </c>
      <c r="L693" s="107">
        <v>1016.7</v>
      </c>
      <c r="M693" s="122">
        <v>153</v>
      </c>
      <c r="N693" s="123">
        <f t="shared" si="239"/>
        <v>24641314.833105586</v>
      </c>
      <c r="O693" s="107"/>
      <c r="P693" s="108">
        <v>2833048.3496888997</v>
      </c>
      <c r="Q693" s="108"/>
      <c r="R693" s="108">
        <f t="shared" si="240"/>
        <v>1148817.4000000001</v>
      </c>
      <c r="S693" s="108">
        <f t="shared" si="237"/>
        <v>14820770.130000003</v>
      </c>
      <c r="T693" s="108">
        <f>+'Приложение №2'!E693-'Приложение №1'!P693-'Приложение №1'!R693-'Приложение №1'!S693</f>
        <v>5838678.9534166828</v>
      </c>
      <c r="U693" s="108">
        <f t="shared" si="232"/>
        <v>8137.7917619511118</v>
      </c>
      <c r="V693" s="108">
        <v>1380.2830200640001</v>
      </c>
      <c r="W693" s="135">
        <v>2024</v>
      </c>
      <c r="X693" s="28" t="e">
        <f>+#REF!-'[1]Приложение №1'!$P819</f>
        <v>#REF!</v>
      </c>
      <c r="Z693" s="30">
        <f t="shared" si="238"/>
        <v>74428273.170000002</v>
      </c>
      <c r="AA693" s="26">
        <v>10992944.493307142</v>
      </c>
      <c r="AB693" s="26">
        <v>4031142.10588698</v>
      </c>
      <c r="AC693" s="26">
        <v>4211597.53865634</v>
      </c>
      <c r="AD693" s="26">
        <v>2636776.0742307599</v>
      </c>
      <c r="AE693" s="26">
        <v>0</v>
      </c>
      <c r="AF693" s="26"/>
      <c r="AG693" s="26">
        <v>362907.99124439992</v>
      </c>
      <c r="AH693" s="26">
        <v>0</v>
      </c>
      <c r="AI693" s="26">
        <v>20681273.964065399</v>
      </c>
      <c r="AJ693" s="26">
        <v>0</v>
      </c>
      <c r="AK693" s="26">
        <v>10737851.5117629</v>
      </c>
      <c r="AL693" s="26">
        <v>11581851.384142619</v>
      </c>
      <c r="AM693" s="26">
        <v>7021058.6343999999</v>
      </c>
      <c r="AN693" s="31">
        <v>744282.7317</v>
      </c>
      <c r="AO693" s="32">
        <v>1426586.74060346</v>
      </c>
      <c r="AP693" s="77">
        <f>+N693-'Приложение №2'!E693</f>
        <v>0</v>
      </c>
      <c r="AQ693" s="1">
        <f>1822364.54-1189810.96</f>
        <v>632553.58000000007</v>
      </c>
      <c r="AR693" s="1">
        <f t="shared" si="230"/>
        <v>516263.82000000007</v>
      </c>
      <c r="AS693" s="1">
        <f>+(K693*10+L693*20)*12*30-3400305.87</f>
        <v>14820770.130000003</v>
      </c>
      <c r="AT693" s="28">
        <f t="shared" si="233"/>
        <v>0</v>
      </c>
      <c r="AU693" s="28">
        <f>+P693-'[6]Приложение №1'!$P660</f>
        <v>0</v>
      </c>
      <c r="AV693" s="28">
        <f>+Q693-'[6]Приложение №1'!$Q660</f>
        <v>0</v>
      </c>
      <c r="AW693" s="28">
        <f>+R693-'[6]Приложение №1'!$R660</f>
        <v>0</v>
      </c>
      <c r="AX693" s="28">
        <f>+S693-'[6]Приложение №1'!$S660</f>
        <v>0</v>
      </c>
      <c r="AY693" s="28">
        <f>+T693-'[6]Приложение №1'!$T660</f>
        <v>1564917.8287499845</v>
      </c>
    </row>
    <row r="694" spans="1:51" x14ac:dyDescent="0.25">
      <c r="A694" s="139">
        <f t="shared" si="235"/>
        <v>675</v>
      </c>
      <c r="B694" s="140">
        <f t="shared" si="236"/>
        <v>213</v>
      </c>
      <c r="C694" s="120" t="s">
        <v>46</v>
      </c>
      <c r="D694" s="120" t="s">
        <v>639</v>
      </c>
      <c r="E694" s="121">
        <v>1986</v>
      </c>
      <c r="F694" s="121">
        <v>2013</v>
      </c>
      <c r="G694" s="121" t="s">
        <v>43</v>
      </c>
      <c r="H694" s="121">
        <v>9</v>
      </c>
      <c r="I694" s="121">
        <v>1</v>
      </c>
      <c r="J694" s="107">
        <v>2272.3000000000002</v>
      </c>
      <c r="K694" s="107">
        <v>2002.9</v>
      </c>
      <c r="L694" s="107">
        <v>0</v>
      </c>
      <c r="M694" s="122">
        <v>70</v>
      </c>
      <c r="N694" s="123">
        <f t="shared" si="239"/>
        <v>5271181.1504999995</v>
      </c>
      <c r="O694" s="107"/>
      <c r="P694" s="108">
        <v>1384418.6154499999</v>
      </c>
      <c r="Q694" s="108"/>
      <c r="R694" s="108">
        <f t="shared" si="240"/>
        <v>289630.06999999995</v>
      </c>
      <c r="S694" s="108">
        <f t="shared" si="237"/>
        <v>3066568.9802429616</v>
      </c>
      <c r="T694" s="108">
        <f>+'Приложение №2'!E694-'Приложение №1'!P694-'Приложение №1'!Q694-'Приложение №1'!R694-'Приложение №1'!S694</f>
        <v>530563.48480703915</v>
      </c>
      <c r="U694" s="108">
        <f t="shared" si="232"/>
        <v>2631.7745022217782</v>
      </c>
      <c r="V694" s="108">
        <v>1381.2830200640001</v>
      </c>
      <c r="W694" s="135">
        <v>2024</v>
      </c>
      <c r="X694" s="28" t="e">
        <f>+#REF!-'[1]Приложение №1'!$P1527</f>
        <v>#REF!</v>
      </c>
      <c r="Z694" s="30">
        <f t="shared" si="238"/>
        <v>21594584.64801088</v>
      </c>
      <c r="AA694" s="26">
        <v>4631599.4465777399</v>
      </c>
      <c r="AB694" s="26"/>
      <c r="AC694" s="26">
        <v>1934925.9339127201</v>
      </c>
      <c r="AD694" s="26">
        <v>1745759.1417302401</v>
      </c>
      <c r="AE694" s="26">
        <v>0</v>
      </c>
      <c r="AF694" s="26"/>
      <c r="AG694" s="26">
        <v>222817.11301919998</v>
      </c>
      <c r="AH694" s="26">
        <v>0</v>
      </c>
      <c r="AI694" s="26">
        <v>2259410.2166411998</v>
      </c>
      <c r="AJ694" s="26">
        <v>0</v>
      </c>
      <c r="AK694" s="26"/>
      <c r="AL694" s="26">
        <v>5158377.8738793004</v>
      </c>
      <c r="AM694" s="26">
        <v>4350496.0856000008</v>
      </c>
      <c r="AN694" s="31">
        <v>443884.90120000008</v>
      </c>
      <c r="AO694" s="32">
        <v>847313.93545048009</v>
      </c>
      <c r="AP694" s="77">
        <f>+N694-'Приложение №2'!E694</f>
        <v>0</v>
      </c>
      <c r="AQ694" s="28">
        <f>1170111.39-R393</f>
        <v>18120.951799999923</v>
      </c>
      <c r="AR694" s="1">
        <f>+(K694*13.29+L694*22.52)*12*0.85</f>
        <v>271509.11820000003</v>
      </c>
      <c r="AS694" s="1">
        <f>+(K694*13.29+L694*22.52)*12*30-6343334.16-S393</f>
        <v>3066568.9802429616</v>
      </c>
      <c r="AT694" s="28">
        <f t="shared" si="233"/>
        <v>0</v>
      </c>
      <c r="AU694" s="28">
        <f>+P694-'[6]Приложение №1'!$P661</f>
        <v>0</v>
      </c>
      <c r="AV694" s="28">
        <f>+Q694-'[6]Приложение №1'!$Q661</f>
        <v>0</v>
      </c>
      <c r="AW694" s="28">
        <f>+R694-'[6]Приложение №1'!$R661</f>
        <v>0</v>
      </c>
      <c r="AX694" s="28">
        <f>+S694-'[6]Приложение №1'!$S661</f>
        <v>0</v>
      </c>
      <c r="AY694" s="28">
        <f>+T694-'[6]Приложение №1'!$T661</f>
        <v>0</v>
      </c>
    </row>
    <row r="695" spans="1:51" x14ac:dyDescent="0.25">
      <c r="A695" s="139">
        <f t="shared" si="235"/>
        <v>676</v>
      </c>
      <c r="B695" s="140">
        <f t="shared" si="236"/>
        <v>214</v>
      </c>
      <c r="C695" s="120" t="s">
        <v>46</v>
      </c>
      <c r="D695" s="120" t="s">
        <v>658</v>
      </c>
      <c r="E695" s="121">
        <v>1999</v>
      </c>
      <c r="F695" s="121">
        <v>2006</v>
      </c>
      <c r="G695" s="121" t="s">
        <v>83</v>
      </c>
      <c r="H695" s="121">
        <v>9</v>
      </c>
      <c r="I695" s="121">
        <v>2</v>
      </c>
      <c r="J695" s="107">
        <v>4762.8999999999996</v>
      </c>
      <c r="K695" s="107">
        <v>4203.6000000000004</v>
      </c>
      <c r="L695" s="107">
        <v>0</v>
      </c>
      <c r="M695" s="122">
        <v>167</v>
      </c>
      <c r="N695" s="123">
        <f t="shared" si="239"/>
        <v>7182720</v>
      </c>
      <c r="O695" s="107"/>
      <c r="P695" s="108"/>
      <c r="Q695" s="108"/>
      <c r="R695" s="108">
        <f t="shared" si="240"/>
        <v>2807335.7788</v>
      </c>
      <c r="S695" s="108">
        <f>+'Приложение №2'!E695-'Приложение №1'!R695</f>
        <v>4375384.2212000005</v>
      </c>
      <c r="T695" s="108"/>
      <c r="U695" s="108">
        <f t="shared" si="232"/>
        <v>1708.7068227233799</v>
      </c>
      <c r="V695" s="108">
        <v>1382.2830200640001</v>
      </c>
      <c r="W695" s="135">
        <v>2024</v>
      </c>
      <c r="X695" s="28"/>
      <c r="Z695" s="30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31"/>
      <c r="AO695" s="32"/>
      <c r="AP695" s="77">
        <f>+N695-'Приложение №2'!E695</f>
        <v>0</v>
      </c>
      <c r="AQ695" s="1">
        <v>2237504.17</v>
      </c>
      <c r="AR695" s="1">
        <f>+(K695*13.29+L695*22.52)*12*0.85</f>
        <v>569831.60880000005</v>
      </c>
      <c r="AS695" s="1">
        <f>+(K695*13.29+L695*22.52)*12*30</f>
        <v>20111703.84</v>
      </c>
      <c r="AT695" s="28">
        <f t="shared" si="233"/>
        <v>-15736319.618799999</v>
      </c>
      <c r="AU695" s="28">
        <f>+P695-'[6]Приложение №1'!$P662</f>
        <v>0</v>
      </c>
      <c r="AV695" s="28">
        <f>+Q695-'[6]Приложение №1'!$Q662</f>
        <v>0</v>
      </c>
      <c r="AW695" s="28">
        <f>+R695-'[6]Приложение №1'!$R662</f>
        <v>0</v>
      </c>
      <c r="AX695" s="28">
        <f>+S695-'[6]Приложение №1'!$S662</f>
        <v>0</v>
      </c>
      <c r="AY695" s="28">
        <f>+T695-'[6]Приложение №1'!$T662</f>
        <v>0</v>
      </c>
    </row>
    <row r="696" spans="1:51" s="34" customFormat="1" x14ac:dyDescent="0.25">
      <c r="A696" s="139">
        <f t="shared" si="235"/>
        <v>677</v>
      </c>
      <c r="B696" s="140">
        <f t="shared" si="236"/>
        <v>215</v>
      </c>
      <c r="C696" s="120" t="s">
        <v>46</v>
      </c>
      <c r="D696" s="120" t="s">
        <v>640</v>
      </c>
      <c r="E696" s="121" t="s">
        <v>99</v>
      </c>
      <c r="F696" s="121"/>
      <c r="G696" s="121" t="s">
        <v>83</v>
      </c>
      <c r="H696" s="121" t="s">
        <v>94</v>
      </c>
      <c r="I696" s="121" t="s">
        <v>95</v>
      </c>
      <c r="J696" s="107">
        <v>4698.7</v>
      </c>
      <c r="K696" s="107">
        <v>4088</v>
      </c>
      <c r="L696" s="107">
        <v>0</v>
      </c>
      <c r="M696" s="122">
        <v>152</v>
      </c>
      <c r="N696" s="123">
        <f t="shared" si="239"/>
        <v>7182720</v>
      </c>
      <c r="O696" s="107">
        <v>0</v>
      </c>
      <c r="P696" s="108">
        <f>+'Приложение №2'!E696-'Приложение №1'!R696-'Приложение №1'!S696</f>
        <v>0</v>
      </c>
      <c r="Q696" s="108">
        <v>0</v>
      </c>
      <c r="R696" s="108">
        <f t="shared" si="240"/>
        <v>0</v>
      </c>
      <c r="S696" s="108">
        <f>+'Приложение №2'!E696</f>
        <v>7182720</v>
      </c>
      <c r="T696" s="108">
        <v>0</v>
      </c>
      <c r="U696" s="108">
        <f t="shared" si="232"/>
        <v>1757.0254403131116</v>
      </c>
      <c r="V696" s="108">
        <v>1383.2830200640001</v>
      </c>
      <c r="W696" s="135">
        <v>2024</v>
      </c>
      <c r="X696" s="34">
        <v>1703986.46</v>
      </c>
      <c r="Y696" s="34">
        <f>+(K696*12.08+L696*20.47)*12</f>
        <v>592596.47999999998</v>
      </c>
      <c r="AA696" s="35">
        <f>+N696-'[5]Приложение № 2'!E629</f>
        <v>-54686716.07703615</v>
      </c>
      <c r="AD696" s="35">
        <f>+N696-'[5]Приложение № 2'!E629</f>
        <v>-54686716.07703615</v>
      </c>
      <c r="AP696" s="77">
        <f>+N696-'Приложение №2'!E696</f>
        <v>0</v>
      </c>
      <c r="AQ696" s="36">
        <f>2172694.37-R394</f>
        <v>-554161.10399999982</v>
      </c>
      <c r="AR696" s="1">
        <f>+(K696*13.29+L696*22.52)*12*0.85</f>
        <v>554161.10399999993</v>
      </c>
      <c r="AS696" s="1">
        <f>+(K696*13.29+L696*22.52)*12*30-S394</f>
        <v>16710658.333999999</v>
      </c>
      <c r="AT696" s="28">
        <f t="shared" si="233"/>
        <v>-9527938.3339999989</v>
      </c>
      <c r="AU696" s="28">
        <f>+P696-'[6]Приложение №1'!$P663</f>
        <v>0</v>
      </c>
      <c r="AV696" s="28">
        <f>+Q696-'[6]Приложение №1'!$Q663</f>
        <v>0</v>
      </c>
      <c r="AW696" s="28">
        <f>+R696-'[6]Приложение №1'!$R663</f>
        <v>0</v>
      </c>
      <c r="AX696" s="28">
        <f>+S696-'[6]Приложение №1'!$S663</f>
        <v>0</v>
      </c>
      <c r="AY696" s="28">
        <f>+T696-'[6]Приложение №1'!$T663</f>
        <v>0</v>
      </c>
    </row>
    <row r="697" spans="1:51" x14ac:dyDescent="0.25">
      <c r="A697" s="139">
        <f t="shared" si="235"/>
        <v>678</v>
      </c>
      <c r="B697" s="140">
        <f t="shared" si="236"/>
        <v>216</v>
      </c>
      <c r="C697" s="120" t="s">
        <v>46</v>
      </c>
      <c r="D697" s="120" t="s">
        <v>659</v>
      </c>
      <c r="E697" s="121">
        <v>1994</v>
      </c>
      <c r="F697" s="121">
        <v>2015</v>
      </c>
      <c r="G697" s="121" t="s">
        <v>43</v>
      </c>
      <c r="H697" s="121">
        <v>9</v>
      </c>
      <c r="I697" s="121">
        <v>4</v>
      </c>
      <c r="J697" s="107">
        <v>9059.2999999999993</v>
      </c>
      <c r="K697" s="107">
        <v>7958.2</v>
      </c>
      <c r="L697" s="107">
        <v>49</v>
      </c>
      <c r="M697" s="122">
        <v>376</v>
      </c>
      <c r="N697" s="123">
        <f t="shared" si="239"/>
        <v>134881504.72058806</v>
      </c>
      <c r="O697" s="107"/>
      <c r="P697" s="108">
        <f>+'Приложение №2'!E697-'Приложение №1'!R697-'Приложение №1'!S697-'Приложение №1'!T697</f>
        <v>13085625.478988066</v>
      </c>
      <c r="Q697" s="108"/>
      <c r="R697" s="108">
        <f t="shared" si="240"/>
        <v>5456010.6915999996</v>
      </c>
      <c r="S697" s="108">
        <f>+AS697</f>
        <v>38472464.879999995</v>
      </c>
      <c r="T697" s="108">
        <v>77867403.670000002</v>
      </c>
      <c r="U697" s="108">
        <f t="shared" si="232"/>
        <v>16948.745284183366</v>
      </c>
      <c r="V697" s="108">
        <v>1384.2830200640001</v>
      </c>
      <c r="W697" s="135">
        <v>2024</v>
      </c>
      <c r="X697" s="28" t="e">
        <f>+#REF!-'[1]Приложение №1'!$P821</f>
        <v>#REF!</v>
      </c>
      <c r="Z697" s="30">
        <f t="shared" ref="Z697:Z702" si="242">SUM(AA697:AO697)</f>
        <v>167033614.96000001</v>
      </c>
      <c r="AA697" s="26">
        <v>18497723.436858121</v>
      </c>
      <c r="AB697" s="26">
        <v>12695079.720886501</v>
      </c>
      <c r="AC697" s="26">
        <v>7727724.5646585599</v>
      </c>
      <c r="AD697" s="26">
        <v>6972228.5386101594</v>
      </c>
      <c r="AE697" s="26">
        <v>0</v>
      </c>
      <c r="AF697" s="26"/>
      <c r="AG697" s="26">
        <v>889888.98620159982</v>
      </c>
      <c r="AH697" s="26">
        <v>0</v>
      </c>
      <c r="AI697" s="26">
        <v>0</v>
      </c>
      <c r="AJ697" s="26">
        <v>0</v>
      </c>
      <c r="AK697" s="26">
        <v>78339424.591046214</v>
      </c>
      <c r="AL697" s="26">
        <v>20601575.841979437</v>
      </c>
      <c r="AM697" s="26">
        <v>16452952.139400002</v>
      </c>
      <c r="AN697" s="31">
        <v>1670336.1496000004</v>
      </c>
      <c r="AO697" s="32">
        <v>3186680.9907594007</v>
      </c>
      <c r="AP697" s="77">
        <f>+N697-'Приложение №2'!E697</f>
        <v>0</v>
      </c>
      <c r="AQ697" s="1">
        <v>4365957.5199999996</v>
      </c>
      <c r="AR697" s="1">
        <f>+(K697*13.29+L697*22.52)*12*0.85</f>
        <v>1090053.1715999998</v>
      </c>
      <c r="AS697" s="1">
        <f>+(K697*13.29+L697*22.52)*12*30</f>
        <v>38472464.879999995</v>
      </c>
      <c r="AT697" s="28">
        <f t="shared" si="233"/>
        <v>0</v>
      </c>
      <c r="AU697" s="28">
        <f>+P697-'[6]Приложение №1'!$P664</f>
        <v>-6962661.1521688104</v>
      </c>
      <c r="AV697" s="28">
        <f>+Q697-'[6]Приложение №1'!$Q664</f>
        <v>0</v>
      </c>
      <c r="AW697" s="28">
        <f>+R697-'[6]Приложение №1'!$R664</f>
        <v>0</v>
      </c>
      <c r="AX697" s="28">
        <f>+S697-'[6]Приложение №1'!$S664</f>
        <v>0</v>
      </c>
      <c r="AY697" s="28">
        <f>+T697-'[6]Приложение №1'!$T664</f>
        <v>0</v>
      </c>
    </row>
    <row r="698" spans="1:51" x14ac:dyDescent="0.25">
      <c r="A698" s="139">
        <f t="shared" si="235"/>
        <v>679</v>
      </c>
      <c r="B698" s="140">
        <f t="shared" si="236"/>
        <v>217</v>
      </c>
      <c r="C698" s="120" t="s">
        <v>46</v>
      </c>
      <c r="D698" s="120" t="s">
        <v>660</v>
      </c>
      <c r="E698" s="121">
        <v>1974</v>
      </c>
      <c r="F698" s="121">
        <v>2013</v>
      </c>
      <c r="G698" s="121" t="s">
        <v>43</v>
      </c>
      <c r="H698" s="121">
        <v>9</v>
      </c>
      <c r="I698" s="121">
        <v>1</v>
      </c>
      <c r="J698" s="107">
        <v>2145.6</v>
      </c>
      <c r="K698" s="107">
        <v>1951.96</v>
      </c>
      <c r="L698" s="107">
        <v>44</v>
      </c>
      <c r="M698" s="122">
        <v>70</v>
      </c>
      <c r="N698" s="123">
        <f t="shared" si="239"/>
        <v>2305199.3400000003</v>
      </c>
      <c r="O698" s="107"/>
      <c r="P698" s="108"/>
      <c r="Q698" s="108"/>
      <c r="R698" s="108">
        <f t="shared" si="240"/>
        <v>1451751.6596799998</v>
      </c>
      <c r="S698" s="108">
        <f>+'Приложение №2'!E698-'Приложение №1'!R698</f>
        <v>853447.68032000051</v>
      </c>
      <c r="T698" s="108">
        <v>0</v>
      </c>
      <c r="U698" s="108">
        <f t="shared" si="232"/>
        <v>1180.9664849689543</v>
      </c>
      <c r="V698" s="108">
        <v>1385.2830200640001</v>
      </c>
      <c r="W698" s="135">
        <v>2024</v>
      </c>
      <c r="X698" s="28" t="e">
        <f>+#REF!-'[1]Приложение №1'!$P1582</f>
        <v>#REF!</v>
      </c>
      <c r="Z698" s="30">
        <f t="shared" si="242"/>
        <v>2561332.6</v>
      </c>
      <c r="AA698" s="26">
        <v>0</v>
      </c>
      <c r="AB698" s="26">
        <v>0</v>
      </c>
      <c r="AC698" s="26">
        <v>0</v>
      </c>
      <c r="AD698" s="26">
        <v>0</v>
      </c>
      <c r="AE698" s="26">
        <v>0</v>
      </c>
      <c r="AF698" s="26"/>
      <c r="AG698" s="26">
        <v>0</v>
      </c>
      <c r="AH698" s="26">
        <v>0</v>
      </c>
      <c r="AI698" s="26">
        <v>2255868.0741240005</v>
      </c>
      <c r="AJ698" s="26">
        <v>0</v>
      </c>
      <c r="AK698" s="26">
        <v>0</v>
      </c>
      <c r="AL698" s="26">
        <v>0</v>
      </c>
      <c r="AM698" s="26">
        <v>230519.93400000001</v>
      </c>
      <c r="AN698" s="31">
        <v>25613.326000000001</v>
      </c>
      <c r="AO698" s="32">
        <v>49331.265876000012</v>
      </c>
      <c r="AP698" s="77">
        <f>+N698-'Приложение №2'!E698</f>
        <v>0</v>
      </c>
      <c r="AQ698" s="1">
        <v>1177040.8899999999</v>
      </c>
      <c r="AR698" s="1">
        <f>+(K698*13.29+L698*22.52)*12*0.85</f>
        <v>274710.76967999997</v>
      </c>
      <c r="AS698" s="1">
        <f>+(K698*13.29+L698*22.52)*12*30</f>
        <v>9695674.2239999995</v>
      </c>
      <c r="AT698" s="28">
        <f t="shared" si="233"/>
        <v>-8842226.5436799992</v>
      </c>
      <c r="AU698" s="28">
        <f>+P698-'[6]Приложение №1'!$P665</f>
        <v>0</v>
      </c>
      <c r="AV698" s="28">
        <f>+Q698-'[6]Приложение №1'!$Q665</f>
        <v>0</v>
      </c>
      <c r="AW698" s="28">
        <f>+R698-'[6]Приложение №1'!$R665</f>
        <v>0</v>
      </c>
      <c r="AX698" s="28">
        <f>+S698-'[6]Приложение №1'!$S665</f>
        <v>0</v>
      </c>
      <c r="AY698" s="28">
        <f>+T698-'[6]Приложение №1'!$T665</f>
        <v>0</v>
      </c>
    </row>
    <row r="699" spans="1:51" x14ac:dyDescent="0.25">
      <c r="A699" s="139">
        <f t="shared" si="235"/>
        <v>680</v>
      </c>
      <c r="B699" s="140">
        <f t="shared" si="236"/>
        <v>218</v>
      </c>
      <c r="C699" s="120" t="s">
        <v>46</v>
      </c>
      <c r="D699" s="120" t="s">
        <v>176</v>
      </c>
      <c r="E699" s="121">
        <v>1968</v>
      </c>
      <c r="F699" s="121">
        <v>2015</v>
      </c>
      <c r="G699" s="121" t="s">
        <v>43</v>
      </c>
      <c r="H699" s="121">
        <v>4</v>
      </c>
      <c r="I699" s="121">
        <v>4</v>
      </c>
      <c r="J699" s="107">
        <v>2529.1</v>
      </c>
      <c r="K699" s="107">
        <v>2238.1</v>
      </c>
      <c r="L699" s="107">
        <v>227.2</v>
      </c>
      <c r="M699" s="122">
        <v>104</v>
      </c>
      <c r="N699" s="123">
        <f t="shared" si="239"/>
        <v>22037286.195505999</v>
      </c>
      <c r="O699" s="107"/>
      <c r="P699" s="108">
        <v>3007275.9718176005</v>
      </c>
      <c r="Q699" s="108"/>
      <c r="R699" s="108">
        <f t="shared" si="240"/>
        <v>0</v>
      </c>
      <c r="S699" s="108">
        <f>+AS699</f>
        <v>8167617.4056179998</v>
      </c>
      <c r="T699" s="108">
        <f>+'Приложение №2'!E699-'Приложение №1'!P699-'Приложение №1'!R699-'Приложение №1'!S699</f>
        <v>10862392.818070401</v>
      </c>
      <c r="U699" s="108">
        <f t="shared" si="232"/>
        <v>9846.4260736812466</v>
      </c>
      <c r="V699" s="108">
        <v>1386.2830200640001</v>
      </c>
      <c r="W699" s="135">
        <v>2024</v>
      </c>
      <c r="X699" s="28" t="e">
        <f>+#REF!-'[1]Приложение №1'!$P1829</f>
        <v>#REF!</v>
      </c>
      <c r="Z699" s="30">
        <f t="shared" si="242"/>
        <v>29885518.550000001</v>
      </c>
      <c r="AA699" s="26">
        <v>6731956.0892438404</v>
      </c>
      <c r="AB699" s="26">
        <v>2468626.27801314</v>
      </c>
      <c r="AC699" s="26">
        <v>2579135.1598849199</v>
      </c>
      <c r="AD699" s="26">
        <v>1614732.13773312</v>
      </c>
      <c r="AE699" s="26">
        <v>0</v>
      </c>
      <c r="AF699" s="26"/>
      <c r="AG699" s="26">
        <v>222240.79473288002</v>
      </c>
      <c r="AH699" s="26">
        <v>0</v>
      </c>
      <c r="AI699" s="26">
        <v>12664980.5522436</v>
      </c>
      <c r="AJ699" s="26">
        <v>0</v>
      </c>
      <c r="AK699" s="26">
        <v>0</v>
      </c>
      <c r="AL699" s="26">
        <v>0</v>
      </c>
      <c r="AM699" s="26">
        <v>2730265.4369999999</v>
      </c>
      <c r="AN699" s="31">
        <v>298855.18550000008</v>
      </c>
      <c r="AO699" s="32">
        <v>574726.9156485002</v>
      </c>
      <c r="AP699" s="77">
        <f>+N699-'Приложение №2'!E699</f>
        <v>0</v>
      </c>
      <c r="AQ699" s="28">
        <f>1122636.15-R398</f>
        <v>-274635</v>
      </c>
      <c r="AR699" s="1">
        <f>+(K699*10+L699*20)*12*0.85</f>
        <v>274635</v>
      </c>
      <c r="AS699" s="1">
        <f>+(K699*10+L699*20)*12*30-S398</f>
        <v>8167617.4056179998</v>
      </c>
      <c r="AT699" s="28">
        <f t="shared" si="233"/>
        <v>0</v>
      </c>
      <c r="AU699" s="28">
        <f>+P699-'[6]Приложение №1'!$P666</f>
        <v>0</v>
      </c>
      <c r="AV699" s="28">
        <f>+Q699-'[6]Приложение №1'!$Q666</f>
        <v>0</v>
      </c>
      <c r="AW699" s="28">
        <f>+R699-'[6]Приложение №1'!$R666</f>
        <v>0</v>
      </c>
      <c r="AX699" s="28">
        <f>+S699-'[6]Приложение №1'!$S666</f>
        <v>0</v>
      </c>
      <c r="AY699" s="28">
        <f>+T699-'[6]Приложение №1'!$T666</f>
        <v>0</v>
      </c>
    </row>
    <row r="700" spans="1:51" x14ac:dyDescent="0.25">
      <c r="A700" s="139">
        <f t="shared" si="235"/>
        <v>681</v>
      </c>
      <c r="B700" s="140">
        <f t="shared" si="236"/>
        <v>219</v>
      </c>
      <c r="C700" s="120" t="s">
        <v>46</v>
      </c>
      <c r="D700" s="120" t="s">
        <v>177</v>
      </c>
      <c r="E700" s="121">
        <v>1967</v>
      </c>
      <c r="F700" s="121">
        <v>2015</v>
      </c>
      <c r="G700" s="121" t="s">
        <v>43</v>
      </c>
      <c r="H700" s="121">
        <v>3</v>
      </c>
      <c r="I700" s="121">
        <v>3</v>
      </c>
      <c r="J700" s="107">
        <v>1753.5</v>
      </c>
      <c r="K700" s="107">
        <v>1262.7</v>
      </c>
      <c r="L700" s="107">
        <v>455.8</v>
      </c>
      <c r="M700" s="122">
        <v>37</v>
      </c>
      <c r="N700" s="123">
        <f t="shared" si="239"/>
        <v>30938743.942612</v>
      </c>
      <c r="O700" s="107"/>
      <c r="P700" s="108">
        <v>5009763.3724291995</v>
      </c>
      <c r="Q700" s="108"/>
      <c r="R700" s="108">
        <f t="shared" si="240"/>
        <v>0</v>
      </c>
      <c r="S700" s="108">
        <f>+AS700</f>
        <v>7179911.9088660004</v>
      </c>
      <c r="T700" s="108">
        <f>+'Приложение №2'!E700-'Приложение №1'!P700-'Приложение №1'!R700-'Приложение №1'!S700</f>
        <v>18749068.661316801</v>
      </c>
      <c r="U700" s="108">
        <f t="shared" si="232"/>
        <v>24502.0542825786</v>
      </c>
      <c r="V700" s="108">
        <v>1387.2830200640001</v>
      </c>
      <c r="W700" s="135">
        <v>2024</v>
      </c>
      <c r="X700" s="28" t="e">
        <f>+#REF!-'[1]Приложение №1'!$P1831</f>
        <v>#REF!</v>
      </c>
      <c r="Z700" s="30">
        <f t="shared" si="242"/>
        <v>34868708.160000004</v>
      </c>
      <c r="AA700" s="26">
        <v>5996729.9781097798</v>
      </c>
      <c r="AB700" s="26">
        <v>3648890.3764198199</v>
      </c>
      <c r="AC700" s="26">
        <v>1719410.9272174803</v>
      </c>
      <c r="AD700" s="26">
        <v>1465289.8013577599</v>
      </c>
      <c r="AE700" s="26">
        <v>0</v>
      </c>
      <c r="AF700" s="26"/>
      <c r="AG700" s="26">
        <v>511593.88939176005</v>
      </c>
      <c r="AH700" s="26">
        <v>0</v>
      </c>
      <c r="AI700" s="26">
        <v>17347540.944257997</v>
      </c>
      <c r="AJ700" s="26">
        <v>0</v>
      </c>
      <c r="AK700" s="26">
        <v>0</v>
      </c>
      <c r="AL700" s="26">
        <v>0</v>
      </c>
      <c r="AM700" s="26">
        <v>3159448.9173999997</v>
      </c>
      <c r="AN700" s="31">
        <v>348687.08159999998</v>
      </c>
      <c r="AO700" s="32">
        <v>671116.24424539995</v>
      </c>
      <c r="AP700" s="77">
        <f>+N700-'Приложение №2'!E700</f>
        <v>0</v>
      </c>
      <c r="AQ700" s="28">
        <f>1072019.06-R400</f>
        <v>-221778.60000000009</v>
      </c>
      <c r="AR700" s="1">
        <f>+(K700*10+L700*20)*12*0.85</f>
        <v>221778.6</v>
      </c>
      <c r="AS700" s="1">
        <f>+(K700*10+L700*20)*12*30-S400</f>
        <v>7179911.9088660004</v>
      </c>
      <c r="AT700" s="28">
        <f t="shared" si="233"/>
        <v>0</v>
      </c>
      <c r="AU700" s="28">
        <f>+P700-'[6]Приложение №1'!$P667</f>
        <v>0</v>
      </c>
      <c r="AV700" s="28">
        <f>+Q700-'[6]Приложение №1'!$Q667</f>
        <v>0</v>
      </c>
      <c r="AW700" s="28">
        <f>+R700-'[6]Приложение №1'!$R667</f>
        <v>0</v>
      </c>
      <c r="AX700" s="28">
        <f>+S700-'[6]Приложение №1'!$S667</f>
        <v>0</v>
      </c>
      <c r="AY700" s="28">
        <f>+T700-'[6]Приложение №1'!$T667</f>
        <v>0</v>
      </c>
    </row>
    <row r="701" spans="1:51" x14ac:dyDescent="0.25">
      <c r="A701" s="139">
        <f t="shared" si="235"/>
        <v>682</v>
      </c>
      <c r="B701" s="140">
        <f t="shared" si="236"/>
        <v>220</v>
      </c>
      <c r="C701" s="120" t="s">
        <v>46</v>
      </c>
      <c r="D701" s="120" t="s">
        <v>178</v>
      </c>
      <c r="E701" s="121">
        <v>1968</v>
      </c>
      <c r="F701" s="121">
        <v>2015</v>
      </c>
      <c r="G701" s="121" t="s">
        <v>43</v>
      </c>
      <c r="H701" s="121">
        <v>4</v>
      </c>
      <c r="I701" s="121">
        <v>2</v>
      </c>
      <c r="J701" s="107">
        <v>1345.8</v>
      </c>
      <c r="K701" s="107">
        <v>1132</v>
      </c>
      <c r="L701" s="107">
        <v>118.5</v>
      </c>
      <c r="M701" s="122">
        <v>46</v>
      </c>
      <c r="N701" s="123">
        <f t="shared" si="239"/>
        <v>11150428.548839999</v>
      </c>
      <c r="O701" s="107"/>
      <c r="P701" s="108">
        <v>1919629.1910700002</v>
      </c>
      <c r="Q701" s="108"/>
      <c r="R701" s="108">
        <f t="shared" si="240"/>
        <v>0</v>
      </c>
      <c r="S701" s="108">
        <f>+AS701</f>
        <v>4040696.8275600001</v>
      </c>
      <c r="T701" s="108">
        <f>+'Приложение №2'!E701-'Приложение №1'!P701-'Приложение №1'!R701-'Приложение №1'!S701</f>
        <v>5190102.5302099995</v>
      </c>
      <c r="U701" s="108">
        <f t="shared" si="232"/>
        <v>9850.2018982685513</v>
      </c>
      <c r="V701" s="108">
        <v>1388.2830200640001</v>
      </c>
      <c r="W701" s="135">
        <v>2024</v>
      </c>
      <c r="X701" s="28" t="e">
        <f>+#REF!-'[1]Приложение №1'!$P1832</f>
        <v>#REF!</v>
      </c>
      <c r="Z701" s="30">
        <f t="shared" si="242"/>
        <v>15236078.209999999</v>
      </c>
      <c r="AA701" s="26">
        <v>3432050.5232340605</v>
      </c>
      <c r="AB701" s="26">
        <v>1258542.09075378</v>
      </c>
      <c r="AC701" s="26">
        <v>1314881.1524797198</v>
      </c>
      <c r="AD701" s="26">
        <v>823214.26413408003</v>
      </c>
      <c r="AE701" s="26">
        <v>0</v>
      </c>
      <c r="AF701" s="26"/>
      <c r="AG701" s="26">
        <v>113301.62983020001</v>
      </c>
      <c r="AH701" s="26">
        <v>0</v>
      </c>
      <c r="AI701" s="26">
        <v>6456793.9123547999</v>
      </c>
      <c r="AJ701" s="26">
        <v>0</v>
      </c>
      <c r="AK701" s="26">
        <v>0</v>
      </c>
      <c r="AL701" s="26">
        <v>0</v>
      </c>
      <c r="AM701" s="26">
        <v>1391929.5954999998</v>
      </c>
      <c r="AN701" s="31">
        <v>152360.78209999998</v>
      </c>
      <c r="AO701" s="32">
        <v>293004.25961336005</v>
      </c>
      <c r="AP701" s="77">
        <f>+N701-'Приложение №2'!E701</f>
        <v>0</v>
      </c>
      <c r="AQ701" s="28">
        <f>449941.2-R401</f>
        <v>-139637.99999999994</v>
      </c>
      <c r="AR701" s="1">
        <f>+(K701*10+L701*20)*12*0.85</f>
        <v>139638</v>
      </c>
      <c r="AS701" s="1">
        <f>+(K701*10+L701*20)*12*30-S401</f>
        <v>4040696.8275600001</v>
      </c>
      <c r="AT701" s="28">
        <f t="shared" si="233"/>
        <v>0</v>
      </c>
      <c r="AU701" s="28">
        <f>+P701-'[6]Приложение №1'!$P668</f>
        <v>0</v>
      </c>
      <c r="AV701" s="28">
        <f>+Q701-'[6]Приложение №1'!$Q668</f>
        <v>0</v>
      </c>
      <c r="AW701" s="28">
        <f>+R701-'[6]Приложение №1'!$R668</f>
        <v>0</v>
      </c>
      <c r="AX701" s="28">
        <f>+S701-'[6]Приложение №1'!$S668</f>
        <v>0</v>
      </c>
      <c r="AY701" s="28">
        <f>+T701-'[6]Приложение №1'!$T668</f>
        <v>0</v>
      </c>
    </row>
    <row r="702" spans="1:51" x14ac:dyDescent="0.25">
      <c r="A702" s="139">
        <f t="shared" si="235"/>
        <v>683</v>
      </c>
      <c r="B702" s="140">
        <f t="shared" si="236"/>
        <v>221</v>
      </c>
      <c r="C702" s="120" t="s">
        <v>46</v>
      </c>
      <c r="D702" s="120" t="s">
        <v>179</v>
      </c>
      <c r="E702" s="121">
        <v>1967</v>
      </c>
      <c r="F702" s="121">
        <v>2013</v>
      </c>
      <c r="G702" s="121" t="s">
        <v>43</v>
      </c>
      <c r="H702" s="121">
        <v>3</v>
      </c>
      <c r="I702" s="121">
        <v>3</v>
      </c>
      <c r="J702" s="107">
        <v>1661.3</v>
      </c>
      <c r="K702" s="107">
        <v>1287.5999999999999</v>
      </c>
      <c r="L702" s="107">
        <v>250.7</v>
      </c>
      <c r="M702" s="122">
        <v>74</v>
      </c>
      <c r="N702" s="123">
        <f t="shared" si="239"/>
        <v>11026809.225987997</v>
      </c>
      <c r="O702" s="107"/>
      <c r="P702" s="108">
        <v>1452195.0248139997</v>
      </c>
      <c r="Q702" s="108"/>
      <c r="R702" s="108">
        <f t="shared" si="240"/>
        <v>0</v>
      </c>
      <c r="S702" s="108">
        <f>+AS702</f>
        <v>5450941.3911319999</v>
      </c>
      <c r="T702" s="108">
        <f>+'Приложение №2'!E702-'Приложение №1'!P702-'Приложение №1'!R702-'Приложение №1'!S702</f>
        <v>4123672.8100419985</v>
      </c>
      <c r="U702" s="108">
        <f t="shared" si="232"/>
        <v>8563.8468670301318</v>
      </c>
      <c r="V702" s="108">
        <v>1389.2830200640001</v>
      </c>
      <c r="W702" s="135">
        <v>2024</v>
      </c>
      <c r="X702" s="28" t="e">
        <f>+#REF!-'[1]Приложение №1'!$P1835</f>
        <v>#REF!</v>
      </c>
      <c r="Z702" s="30">
        <f t="shared" si="242"/>
        <v>14747148.670000002</v>
      </c>
      <c r="AA702" s="26">
        <v>5828747.4672991196</v>
      </c>
      <c r="AB702" s="26">
        <v>3546676.3733486403</v>
      </c>
      <c r="AC702" s="26">
        <v>1671246.17812992</v>
      </c>
      <c r="AD702" s="26">
        <v>1424243.59065324</v>
      </c>
      <c r="AE702" s="26">
        <v>0</v>
      </c>
      <c r="AF702" s="26"/>
      <c r="AG702" s="26">
        <v>497262.94218215998</v>
      </c>
      <c r="AH702" s="26">
        <v>0</v>
      </c>
      <c r="AI702" s="26">
        <v>0</v>
      </c>
      <c r="AJ702" s="26">
        <v>0</v>
      </c>
      <c r="AK702" s="26">
        <v>0</v>
      </c>
      <c r="AL702" s="26">
        <v>0</v>
      </c>
      <c r="AM702" s="26">
        <v>1347912.8755000001</v>
      </c>
      <c r="AN702" s="31">
        <v>147471.48670000001</v>
      </c>
      <c r="AO702" s="32">
        <v>283587.75618692004</v>
      </c>
      <c r="AP702" s="77">
        <f>+N702-'Приложение №2'!E702</f>
        <v>0</v>
      </c>
      <c r="AQ702" s="28">
        <f>717131.91-R402</f>
        <v>-182478</v>
      </c>
      <c r="AR702" s="1">
        <f>+(K702*10+L702*20)*12*0.85</f>
        <v>182478</v>
      </c>
      <c r="AS702" s="1">
        <f>+(K702*10+L702*20)*12*30-S402</f>
        <v>5450941.3911319999</v>
      </c>
      <c r="AT702" s="28">
        <f t="shared" si="233"/>
        <v>0</v>
      </c>
      <c r="AU702" s="28">
        <f>+P702-'[6]Приложение №1'!$P669</f>
        <v>0</v>
      </c>
      <c r="AV702" s="28">
        <f>+Q702-'[6]Приложение №1'!$Q669</f>
        <v>0</v>
      </c>
      <c r="AW702" s="28">
        <f>+R702-'[6]Приложение №1'!$R669</f>
        <v>0</v>
      </c>
      <c r="AX702" s="28">
        <f>+S702-'[6]Приложение №1'!$S669</f>
        <v>0</v>
      </c>
      <c r="AY702" s="28">
        <f>+T702-'[6]Приложение №1'!$T669</f>
        <v>0</v>
      </c>
    </row>
    <row r="703" spans="1:51" x14ac:dyDescent="0.25">
      <c r="A703" s="139">
        <f t="shared" si="235"/>
        <v>684</v>
      </c>
      <c r="B703" s="140">
        <f t="shared" si="236"/>
        <v>222</v>
      </c>
      <c r="C703" s="120" t="s">
        <v>46</v>
      </c>
      <c r="D703" s="120" t="s">
        <v>661</v>
      </c>
      <c r="E703" s="121">
        <v>2000</v>
      </c>
      <c r="F703" s="121">
        <v>2013</v>
      </c>
      <c r="G703" s="121" t="s">
        <v>83</v>
      </c>
      <c r="H703" s="121">
        <v>9</v>
      </c>
      <c r="I703" s="121">
        <v>6</v>
      </c>
      <c r="J703" s="107">
        <v>12225.7</v>
      </c>
      <c r="K703" s="107">
        <v>12225.7</v>
      </c>
      <c r="L703" s="107">
        <v>0</v>
      </c>
      <c r="M703" s="122">
        <v>575</v>
      </c>
      <c r="N703" s="123">
        <f t="shared" si="239"/>
        <v>21548160</v>
      </c>
      <c r="O703" s="107"/>
      <c r="P703" s="108"/>
      <c r="Q703" s="108"/>
      <c r="R703" s="108">
        <f t="shared" si="240"/>
        <v>8535516.9905999992</v>
      </c>
      <c r="S703" s="108">
        <f>+'Приложение №2'!E703-'Приложение №1'!R703</f>
        <v>13012643.009400001</v>
      </c>
      <c r="T703" s="108">
        <v>0</v>
      </c>
      <c r="U703" s="108">
        <f t="shared" si="232"/>
        <v>1762.5297528975846</v>
      </c>
      <c r="V703" s="108">
        <v>1390.2830200640001</v>
      </c>
      <c r="W703" s="135">
        <v>2024</v>
      </c>
      <c r="X703" s="28"/>
      <c r="Z703" s="30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31"/>
      <c r="AO703" s="32"/>
      <c r="AP703" s="77">
        <f>+N703-'Приложение №2'!E703</f>
        <v>0</v>
      </c>
      <c r="AQ703" s="1">
        <v>6878225.5499999998</v>
      </c>
      <c r="AR703" s="1">
        <f>+(K703*13.29+L703*22.52)*12*0.85</f>
        <v>1657291.4405999999</v>
      </c>
      <c r="AS703" s="1">
        <f>+(K703*13.29+L703*22.52)*12*30</f>
        <v>58492639.079999998</v>
      </c>
      <c r="AT703" s="28">
        <f t="shared" si="233"/>
        <v>-45479996.070599996</v>
      </c>
      <c r="AU703" s="28">
        <f>+P703-'[6]Приложение №1'!$P670</f>
        <v>0</v>
      </c>
      <c r="AV703" s="28">
        <f>+Q703-'[6]Приложение №1'!$Q670</f>
        <v>0</v>
      </c>
      <c r="AW703" s="28">
        <f>+R703-'[6]Приложение №1'!$R670</f>
        <v>0</v>
      </c>
      <c r="AX703" s="28">
        <f>+S703-'[6]Приложение №1'!$S670</f>
        <v>0</v>
      </c>
      <c r="AY703" s="28">
        <f>+T703-'[6]Приложение №1'!$T670</f>
        <v>0</v>
      </c>
    </row>
    <row r="704" spans="1:51" x14ac:dyDescent="0.25">
      <c r="A704" s="139">
        <f t="shared" si="235"/>
        <v>685</v>
      </c>
      <c r="B704" s="140">
        <f t="shared" si="236"/>
        <v>223</v>
      </c>
      <c r="C704" s="120" t="s">
        <v>46</v>
      </c>
      <c r="D704" s="120" t="s">
        <v>233</v>
      </c>
      <c r="E704" s="121">
        <v>1969</v>
      </c>
      <c r="F704" s="121">
        <v>1969</v>
      </c>
      <c r="G704" s="121" t="s">
        <v>43</v>
      </c>
      <c r="H704" s="121">
        <v>4</v>
      </c>
      <c r="I704" s="121">
        <v>2</v>
      </c>
      <c r="J704" s="107">
        <v>1357.7</v>
      </c>
      <c r="K704" s="107">
        <v>1089.9000000000001</v>
      </c>
      <c r="L704" s="107">
        <v>150.80000000000001</v>
      </c>
      <c r="M704" s="122">
        <v>48</v>
      </c>
      <c r="N704" s="123">
        <f t="shared" si="239"/>
        <v>4064823.6560380002</v>
      </c>
      <c r="O704" s="107"/>
      <c r="P704" s="108"/>
      <c r="Q704" s="108"/>
      <c r="R704" s="108">
        <f t="shared" si="240"/>
        <v>0</v>
      </c>
      <c r="S704" s="108">
        <f>+'Приложение №2'!E704-'Приложение №1'!R704</f>
        <v>4064823.6560380002</v>
      </c>
      <c r="T704" s="108">
        <v>0</v>
      </c>
      <c r="U704" s="108">
        <f t="shared" si="232"/>
        <v>3729.5381741792826</v>
      </c>
      <c r="V704" s="108">
        <v>1391.2830200640001</v>
      </c>
      <c r="W704" s="135">
        <v>2024</v>
      </c>
      <c r="X704" s="28" t="e">
        <f>+#REF!-'[1]Приложение №1'!$P1837</f>
        <v>#REF!</v>
      </c>
      <c r="Z704" s="30">
        <f t="shared" ref="Z704:Z721" si="243">SUM(AA704:AO704)</f>
        <v>8198144.5299999993</v>
      </c>
      <c r="AA704" s="26">
        <v>3559333.0036773602</v>
      </c>
      <c r="AB704" s="26">
        <v>1305216.9162526201</v>
      </c>
      <c r="AC704" s="26">
        <v>1363645.3966245598</v>
      </c>
      <c r="AD704" s="26">
        <v>853744.33726847998</v>
      </c>
      <c r="AE704" s="26">
        <v>0</v>
      </c>
      <c r="AF704" s="26"/>
      <c r="AG704" s="26">
        <v>117503.58224136</v>
      </c>
      <c r="AH704" s="26">
        <v>0</v>
      </c>
      <c r="AI704" s="26">
        <v>0</v>
      </c>
      <c r="AJ704" s="26">
        <v>0</v>
      </c>
      <c r="AK704" s="26">
        <v>0</v>
      </c>
      <c r="AL704" s="26">
        <v>0</v>
      </c>
      <c r="AM704" s="26">
        <v>759282.60640000005</v>
      </c>
      <c r="AN704" s="31">
        <v>81981.445299999992</v>
      </c>
      <c r="AO704" s="32">
        <v>157437.24223562001</v>
      </c>
      <c r="AP704" s="77">
        <f>+N704-'Приложение №2'!E704</f>
        <v>0</v>
      </c>
      <c r="AQ704" s="28">
        <f>484860.46-R403</f>
        <v>-141932.99999999994</v>
      </c>
      <c r="AR704" s="1">
        <f>+(K704*10+L704*20)*12*0.85</f>
        <v>141933</v>
      </c>
      <c r="AS704" s="1">
        <f>+(K704*10+L704*20)*12*30-S403</f>
        <v>4100172.3171000001</v>
      </c>
      <c r="AT704" s="28">
        <f t="shared" si="233"/>
        <v>-35348.661061999854</v>
      </c>
      <c r="AU704" s="28">
        <f>+P704-'[6]Приложение №1'!$P671</f>
        <v>0</v>
      </c>
      <c r="AV704" s="28">
        <f>+Q704-'[6]Приложение №1'!$Q671</f>
        <v>0</v>
      </c>
      <c r="AW704" s="28">
        <f>+R704-'[6]Приложение №1'!$R671</f>
        <v>0</v>
      </c>
      <c r="AX704" s="28">
        <f>+S704-'[6]Приложение №1'!$S671</f>
        <v>0</v>
      </c>
      <c r="AY704" s="28">
        <f>+T704-'[6]Приложение №1'!$T671</f>
        <v>0</v>
      </c>
    </row>
    <row r="705" spans="1:51" x14ac:dyDescent="0.25">
      <c r="A705" s="139">
        <f t="shared" si="235"/>
        <v>686</v>
      </c>
      <c r="B705" s="140">
        <f t="shared" si="236"/>
        <v>224</v>
      </c>
      <c r="C705" s="120" t="s">
        <v>46</v>
      </c>
      <c r="D705" s="120" t="s">
        <v>181</v>
      </c>
      <c r="E705" s="121">
        <v>1969</v>
      </c>
      <c r="F705" s="121">
        <v>1969</v>
      </c>
      <c r="G705" s="121" t="s">
        <v>43</v>
      </c>
      <c r="H705" s="121">
        <v>4</v>
      </c>
      <c r="I705" s="121">
        <v>2</v>
      </c>
      <c r="J705" s="107">
        <v>1375</v>
      </c>
      <c r="K705" s="107">
        <v>1257.0999999999999</v>
      </c>
      <c r="L705" s="107">
        <v>0</v>
      </c>
      <c r="M705" s="122">
        <v>53</v>
      </c>
      <c r="N705" s="123">
        <f t="shared" si="239"/>
        <v>11763667.369848</v>
      </c>
      <c r="O705" s="107"/>
      <c r="P705" s="108">
        <v>2077460.7349500002</v>
      </c>
      <c r="Q705" s="108"/>
      <c r="R705" s="108">
        <f t="shared" si="240"/>
        <v>0</v>
      </c>
      <c r="S705" s="108">
        <f t="shared" ref="S705:S711" si="244">+AS705</f>
        <v>3700275.840448</v>
      </c>
      <c r="T705" s="108">
        <f>+'Приложение №2'!E705-'Приложение №1'!P705-'Приложение №1'!R705-'Приложение №1'!S705</f>
        <v>5985930.7944499999</v>
      </c>
      <c r="U705" s="108">
        <f t="shared" si="232"/>
        <v>9357.7816958459953</v>
      </c>
      <c r="V705" s="108">
        <v>1392.2830200640001</v>
      </c>
      <c r="W705" s="135">
        <v>2024</v>
      </c>
      <c r="X705" s="28" t="e">
        <f>+#REF!-'[1]Приложение №1'!$P1843</f>
        <v>#REF!</v>
      </c>
      <c r="Z705" s="30">
        <f t="shared" si="243"/>
        <v>15991596.719999999</v>
      </c>
      <c r="AA705" s="26">
        <v>3602237.2105683601</v>
      </c>
      <c r="AB705" s="26">
        <v>1320950.0034994199</v>
      </c>
      <c r="AC705" s="26">
        <v>1380082.7808234601</v>
      </c>
      <c r="AD705" s="26">
        <v>864035.37315648003</v>
      </c>
      <c r="AE705" s="26">
        <v>0</v>
      </c>
      <c r="AF705" s="26"/>
      <c r="AG705" s="26">
        <v>118919.97069456</v>
      </c>
      <c r="AH705" s="26">
        <v>0</v>
      </c>
      <c r="AI705" s="26">
        <v>6776969.9586876007</v>
      </c>
      <c r="AJ705" s="26">
        <v>0</v>
      </c>
      <c r="AK705" s="26">
        <v>0</v>
      </c>
      <c r="AL705" s="26">
        <v>0</v>
      </c>
      <c r="AM705" s="26">
        <v>1460951.8569999998</v>
      </c>
      <c r="AN705" s="31">
        <v>159915.96719999998</v>
      </c>
      <c r="AO705" s="32">
        <v>307533.59837011999</v>
      </c>
      <c r="AP705" s="77">
        <f>+N705-'Приложение №2'!E705</f>
        <v>0</v>
      </c>
      <c r="AQ705" s="28">
        <f>599663.27-R405</f>
        <v>-128224.19999999995</v>
      </c>
      <c r="AR705" s="1">
        <f>+(K705*10+L705*20)*12*0.85</f>
        <v>128224.2</v>
      </c>
      <c r="AS705" s="1">
        <f>+(K705*10+L705*20)*12*30-S405</f>
        <v>3700275.840448</v>
      </c>
      <c r="AT705" s="28">
        <f t="shared" si="233"/>
        <v>0</v>
      </c>
      <c r="AU705" s="28">
        <f>+P705-'[6]Приложение №1'!$P672</f>
        <v>0</v>
      </c>
      <c r="AV705" s="28">
        <f>+Q705-'[6]Приложение №1'!$Q672</f>
        <v>0</v>
      </c>
      <c r="AW705" s="28">
        <f>+R705-'[6]Приложение №1'!$R672</f>
        <v>0</v>
      </c>
      <c r="AX705" s="28">
        <f>+S705-'[6]Приложение №1'!$S672</f>
        <v>0</v>
      </c>
      <c r="AY705" s="28">
        <f>+T705-'[6]Приложение №1'!$T672</f>
        <v>0</v>
      </c>
    </row>
    <row r="706" spans="1:51" x14ac:dyDescent="0.25">
      <c r="A706" s="139">
        <f t="shared" si="235"/>
        <v>687</v>
      </c>
      <c r="B706" s="140">
        <f t="shared" si="236"/>
        <v>225</v>
      </c>
      <c r="C706" s="120" t="s">
        <v>46</v>
      </c>
      <c r="D706" s="120" t="s">
        <v>182</v>
      </c>
      <c r="E706" s="121">
        <v>1971</v>
      </c>
      <c r="F706" s="121">
        <v>1971</v>
      </c>
      <c r="G706" s="121" t="s">
        <v>43</v>
      </c>
      <c r="H706" s="121">
        <v>4</v>
      </c>
      <c r="I706" s="121">
        <v>2</v>
      </c>
      <c r="J706" s="107">
        <v>1403.6</v>
      </c>
      <c r="K706" s="107">
        <v>1280.0999999999999</v>
      </c>
      <c r="L706" s="107">
        <v>42.7</v>
      </c>
      <c r="M706" s="122">
        <v>67</v>
      </c>
      <c r="N706" s="123">
        <f t="shared" si="239"/>
        <v>4323468.3701106058</v>
      </c>
      <c r="O706" s="107"/>
      <c r="P706" s="108"/>
      <c r="Q706" s="108"/>
      <c r="R706" s="108">
        <f t="shared" si="240"/>
        <v>0</v>
      </c>
      <c r="S706" s="108">
        <f t="shared" si="244"/>
        <v>4073310.8559360001</v>
      </c>
      <c r="T706" s="108">
        <f>+'Приложение №2'!E706-'Приложение №1'!P706-'Приложение №1'!R706-'Приложение №1'!S706</f>
        <v>250157.51417460572</v>
      </c>
      <c r="U706" s="108">
        <f t="shared" si="232"/>
        <v>3377.4458011956926</v>
      </c>
      <c r="V706" s="108">
        <v>1393.2830200640001</v>
      </c>
      <c r="W706" s="135">
        <v>2024</v>
      </c>
      <c r="X706" s="28" t="e">
        <f>+#REF!-'[1]Приложение №1'!$P1844</f>
        <v>#REF!</v>
      </c>
      <c r="Z706" s="30">
        <f t="shared" si="243"/>
        <v>9191213.3916225992</v>
      </c>
      <c r="AA706" s="26">
        <v>3593084.3130982798</v>
      </c>
      <c r="AB706" s="26">
        <v>1317593.61677916</v>
      </c>
      <c r="AC706" s="26">
        <v>1376576.13711912</v>
      </c>
      <c r="AD706" s="26">
        <v>861839.95216703997</v>
      </c>
      <c r="AE706" s="26">
        <v>0</v>
      </c>
      <c r="AF706" s="26"/>
      <c r="AG706" s="26">
        <v>118617.80974259999</v>
      </c>
      <c r="AH706" s="26">
        <v>0</v>
      </c>
      <c r="AI706" s="26"/>
      <c r="AJ706" s="26">
        <v>0</v>
      </c>
      <c r="AK706" s="26">
        <v>0</v>
      </c>
      <c r="AL706" s="26">
        <v>0</v>
      </c>
      <c r="AM706" s="26">
        <v>1457239.736</v>
      </c>
      <c r="AN706" s="31">
        <v>159509.63800000001</v>
      </c>
      <c r="AO706" s="32">
        <v>306752.18871640007</v>
      </c>
      <c r="AP706" s="77">
        <f>+N706-'Приложение №2'!E706</f>
        <v>0</v>
      </c>
      <c r="AQ706" s="28">
        <f>545896.66-R406</f>
        <v>-139281</v>
      </c>
      <c r="AR706" s="1">
        <f>+(K706*10+L706*20)*12*0.85</f>
        <v>139281</v>
      </c>
      <c r="AS706" s="1">
        <f>+(K706*10+L706*20)*12*30-S406</f>
        <v>4073310.8559360001</v>
      </c>
      <c r="AT706" s="28">
        <f t="shared" si="233"/>
        <v>0</v>
      </c>
      <c r="AU706" s="28">
        <f>+P706-'[6]Приложение №1'!$P673</f>
        <v>0</v>
      </c>
      <c r="AV706" s="28">
        <f>+Q706-'[6]Приложение №1'!$Q673</f>
        <v>0</v>
      </c>
      <c r="AW706" s="28">
        <f>+R706-'[6]Приложение №1'!$R673</f>
        <v>0</v>
      </c>
      <c r="AX706" s="28">
        <f>+S706-'[6]Приложение №1'!$S673</f>
        <v>88799.620614599902</v>
      </c>
      <c r="AY706" s="28">
        <f>+T706-'[6]Приложение №1'!$T673</f>
        <v>250157.51417460572</v>
      </c>
    </row>
    <row r="707" spans="1:51" x14ac:dyDescent="0.25">
      <c r="A707" s="139">
        <f t="shared" si="235"/>
        <v>688</v>
      </c>
      <c r="B707" s="140">
        <f t="shared" si="236"/>
        <v>226</v>
      </c>
      <c r="C707" s="120" t="s">
        <v>46</v>
      </c>
      <c r="D707" s="120" t="s">
        <v>662</v>
      </c>
      <c r="E707" s="121">
        <v>1993</v>
      </c>
      <c r="F707" s="121">
        <v>2009</v>
      </c>
      <c r="G707" s="121" t="s">
        <v>43</v>
      </c>
      <c r="H707" s="121">
        <v>9</v>
      </c>
      <c r="I707" s="121">
        <v>1</v>
      </c>
      <c r="J707" s="107">
        <v>2345</v>
      </c>
      <c r="K707" s="107">
        <v>1959.1</v>
      </c>
      <c r="L707" s="107">
        <v>0</v>
      </c>
      <c r="M707" s="122">
        <v>80</v>
      </c>
      <c r="N707" s="123">
        <f t="shared" si="239"/>
        <v>16319133.116</v>
      </c>
      <c r="O707" s="107"/>
      <c r="P707" s="108">
        <v>1497757.0491000004</v>
      </c>
      <c r="Q707" s="108"/>
      <c r="R707" s="108">
        <f t="shared" si="240"/>
        <v>1360732.8177999998</v>
      </c>
      <c r="S707" s="108">
        <f t="shared" si="244"/>
        <v>9373118.0399999991</v>
      </c>
      <c r="T707" s="108">
        <f>+'Приложение №2'!E707-'Приложение №1'!P707-'Приложение №1'!R707-'Приложение №1'!S707</f>
        <v>4087525.2091000006</v>
      </c>
      <c r="U707" s="108">
        <f t="shared" si="232"/>
        <v>8329.9132846715329</v>
      </c>
      <c r="V707" s="108">
        <v>1394.2830200640001</v>
      </c>
      <c r="W707" s="135">
        <v>2024</v>
      </c>
      <c r="X707" s="28" t="e">
        <f>+#REF!-'[1]Приложение №1'!$P1603</f>
        <v>#REF!</v>
      </c>
      <c r="Z707" s="30">
        <f t="shared" si="243"/>
        <v>41352125.810000002</v>
      </c>
      <c r="AA707" s="26">
        <v>4542107.7549229199</v>
      </c>
      <c r="AB707" s="26">
        <v>3117271.1769024003</v>
      </c>
      <c r="AC707" s="26">
        <v>0</v>
      </c>
      <c r="AD707" s="26">
        <v>1712027.61216396</v>
      </c>
      <c r="AE707" s="26">
        <v>0</v>
      </c>
      <c r="AF707" s="26"/>
      <c r="AG707" s="26">
        <v>218511.8445216</v>
      </c>
      <c r="AH707" s="26">
        <v>0</v>
      </c>
      <c r="AI707" s="26">
        <v>2215753.9253135999</v>
      </c>
      <c r="AJ707" s="26">
        <v>0</v>
      </c>
      <c r="AK707" s="26">
        <v>19236210.842486817</v>
      </c>
      <c r="AL707" s="26">
        <v>5058707.7793799406</v>
      </c>
      <c r="AM707" s="26">
        <v>4048566.8085000003</v>
      </c>
      <c r="AN707" s="31">
        <v>413521.25809999998</v>
      </c>
      <c r="AO707" s="32">
        <v>789446.80770875991</v>
      </c>
      <c r="AP707" s="77">
        <f>+N707-'Приложение №2'!E707</f>
        <v>0</v>
      </c>
      <c r="AQ707" s="1">
        <v>1095161.1399999999</v>
      </c>
      <c r="AR707" s="1">
        <f>+(K707*13.29+L707*22.52)*12*0.85</f>
        <v>265571.6778</v>
      </c>
      <c r="AS707" s="1">
        <f>+(K707*13.29+L707*22.52)*12*30</f>
        <v>9373118.0399999991</v>
      </c>
      <c r="AT707" s="28">
        <f t="shared" si="233"/>
        <v>0</v>
      </c>
      <c r="AU707" s="28">
        <f>+P707-'[6]Приложение №1'!$P674</f>
        <v>0</v>
      </c>
      <c r="AV707" s="28">
        <f>+Q707-'[6]Приложение №1'!$Q674</f>
        <v>0</v>
      </c>
      <c r="AW707" s="28">
        <f>+R707-'[6]Приложение №1'!$R674</f>
        <v>0</v>
      </c>
      <c r="AX707" s="28">
        <f>+S707-'[6]Приложение №1'!$S674</f>
        <v>0</v>
      </c>
      <c r="AY707" s="28">
        <f>+T707-'[6]Приложение №1'!$T674</f>
        <v>0</v>
      </c>
    </row>
    <row r="708" spans="1:51" x14ac:dyDescent="0.25">
      <c r="A708" s="139">
        <f t="shared" si="235"/>
        <v>689</v>
      </c>
      <c r="B708" s="140">
        <f t="shared" si="236"/>
        <v>227</v>
      </c>
      <c r="C708" s="120" t="s">
        <v>46</v>
      </c>
      <c r="D708" s="120" t="s">
        <v>183</v>
      </c>
      <c r="E708" s="121">
        <v>1971</v>
      </c>
      <c r="F708" s="121">
        <v>2015</v>
      </c>
      <c r="G708" s="121" t="s">
        <v>43</v>
      </c>
      <c r="H708" s="121">
        <v>4</v>
      </c>
      <c r="I708" s="121">
        <v>1</v>
      </c>
      <c r="J708" s="107">
        <v>2344</v>
      </c>
      <c r="K708" s="107">
        <v>1634.9</v>
      </c>
      <c r="L708" s="107">
        <v>427.9</v>
      </c>
      <c r="M708" s="122">
        <v>68</v>
      </c>
      <c r="N708" s="123">
        <f t="shared" si="239"/>
        <v>9116126.8326507621</v>
      </c>
      <c r="O708" s="107"/>
      <c r="P708" s="108">
        <v>417931.19377368968</v>
      </c>
      <c r="Q708" s="108"/>
      <c r="R708" s="108">
        <f t="shared" si="240"/>
        <v>0</v>
      </c>
      <c r="S708" s="108">
        <f t="shared" si="244"/>
        <v>7970577.2975559998</v>
      </c>
      <c r="T708" s="108">
        <f>+'Приложение №2'!E708-'Приложение №1'!P708-'Приложение №1'!R708-'Приложение №1'!S708</f>
        <v>727618.34132107161</v>
      </c>
      <c r="U708" s="108">
        <f t="shared" si="232"/>
        <v>5575.9537786107785</v>
      </c>
      <c r="V708" s="108">
        <v>1395.2830200640001</v>
      </c>
      <c r="W708" s="135">
        <v>2024</v>
      </c>
      <c r="X708" s="28" t="e">
        <f>+#REF!-'[1]Приложение №1'!$P1845</f>
        <v>#REF!</v>
      </c>
      <c r="Z708" s="30">
        <f t="shared" si="243"/>
        <v>25262253.210000001</v>
      </c>
      <c r="AA708" s="26">
        <v>5690527.9739763001</v>
      </c>
      <c r="AB708" s="26">
        <v>2086731.8051672401</v>
      </c>
      <c r="AC708" s="26">
        <v>2180145.0619355398</v>
      </c>
      <c r="AD708" s="26">
        <v>1364934.3932783997</v>
      </c>
      <c r="AE708" s="26">
        <v>0</v>
      </c>
      <c r="AF708" s="26"/>
      <c r="AG708" s="26">
        <v>187860.32184275999</v>
      </c>
      <c r="AH708" s="26">
        <v>0</v>
      </c>
      <c r="AI708" s="26">
        <v>10705718.389564799</v>
      </c>
      <c r="AJ708" s="26">
        <v>0</v>
      </c>
      <c r="AK708" s="26">
        <v>0</v>
      </c>
      <c r="AL708" s="26">
        <v>0</v>
      </c>
      <c r="AM708" s="26">
        <v>2307895.6014999999</v>
      </c>
      <c r="AN708" s="31">
        <v>252622.53210000001</v>
      </c>
      <c r="AO708" s="32">
        <v>485817.13063496002</v>
      </c>
      <c r="AP708" s="77">
        <f>+N708-'Приложение №2'!E708</f>
        <v>0</v>
      </c>
      <c r="AQ708" s="28">
        <f>1215312.06-R409</f>
        <v>-254051.39999999991</v>
      </c>
      <c r="AR708" s="1">
        <f t="shared" ref="AR708:AR715" si="245">+(K708*10+L708*20)*12*0.85</f>
        <v>254051.4</v>
      </c>
      <c r="AS708" s="1">
        <f t="shared" ref="AS708:AS714" si="246">+(K708*10+L708*20)*12*30-S409</f>
        <v>7970577.2975559998</v>
      </c>
      <c r="AT708" s="28">
        <f t="shared" si="233"/>
        <v>0</v>
      </c>
      <c r="AU708" s="28">
        <f>+P708-'[6]Приложение №1'!$P675</f>
        <v>0</v>
      </c>
      <c r="AV708" s="28">
        <f>+Q708-'[6]Приложение №1'!$Q675</f>
        <v>0</v>
      </c>
      <c r="AW708" s="28">
        <f>+R708-'[6]Приложение №1'!$R675</f>
        <v>0</v>
      </c>
      <c r="AX708" s="28">
        <f>+S708-'[6]Приложение №1'!$S675</f>
        <v>0</v>
      </c>
      <c r="AY708" s="28">
        <f>+T708-'[6]Приложение №1'!$T675</f>
        <v>0</v>
      </c>
    </row>
    <row r="709" spans="1:51" x14ac:dyDescent="0.25">
      <c r="A709" s="139">
        <f t="shared" si="235"/>
        <v>690</v>
      </c>
      <c r="B709" s="140">
        <f t="shared" si="236"/>
        <v>228</v>
      </c>
      <c r="C709" s="120" t="s">
        <v>46</v>
      </c>
      <c r="D709" s="120" t="s">
        <v>184</v>
      </c>
      <c r="E709" s="121">
        <v>1970</v>
      </c>
      <c r="F709" s="121">
        <v>2015</v>
      </c>
      <c r="G709" s="121" t="s">
        <v>43</v>
      </c>
      <c r="H709" s="121">
        <v>4</v>
      </c>
      <c r="I709" s="121">
        <v>2</v>
      </c>
      <c r="J709" s="107">
        <v>1403.6</v>
      </c>
      <c r="K709" s="107">
        <v>1288.25</v>
      </c>
      <c r="L709" s="107">
        <v>0</v>
      </c>
      <c r="M709" s="122">
        <v>53</v>
      </c>
      <c r="N709" s="123">
        <f t="shared" si="239"/>
        <v>4191335.3761740001</v>
      </c>
      <c r="O709" s="107"/>
      <c r="P709" s="108">
        <v>182520.66723549983</v>
      </c>
      <c r="Q709" s="108"/>
      <c r="R709" s="108">
        <f t="shared" si="240"/>
        <v>0</v>
      </c>
      <c r="S709" s="108">
        <f t="shared" si="244"/>
        <v>3735582.6662320001</v>
      </c>
      <c r="T709" s="108">
        <f>+'Приложение №2'!E709-'Приложение №1'!P709-'Приложение №1'!R709-'Приложение №1'!S709</f>
        <v>273232.04270650027</v>
      </c>
      <c r="U709" s="108">
        <f t="shared" si="232"/>
        <v>3253.5108683671647</v>
      </c>
      <c r="V709" s="108">
        <v>1396.2830200640001</v>
      </c>
      <c r="W709" s="135">
        <v>2024</v>
      </c>
      <c r="X709" s="28" t="e">
        <f>+#REF!-'[1]Приложение №1'!$P1849</f>
        <v>#REF!</v>
      </c>
      <c r="Z709" s="30">
        <f t="shared" si="243"/>
        <v>16293169.239999998</v>
      </c>
      <c r="AA709" s="26">
        <v>3670168.8759317403</v>
      </c>
      <c r="AB709" s="26">
        <v>1345860.7249735198</v>
      </c>
      <c r="AC709" s="26">
        <v>1406108.636961</v>
      </c>
      <c r="AD709" s="26">
        <v>880329.51331247995</v>
      </c>
      <c r="AE709" s="26">
        <v>0</v>
      </c>
      <c r="AF709" s="26"/>
      <c r="AG709" s="26">
        <v>121162.59054059999</v>
      </c>
      <c r="AH709" s="26">
        <v>0</v>
      </c>
      <c r="AI709" s="26">
        <v>6904771.3217195999</v>
      </c>
      <c r="AJ709" s="26">
        <v>0</v>
      </c>
      <c r="AK709" s="26">
        <v>0</v>
      </c>
      <c r="AL709" s="26">
        <v>0</v>
      </c>
      <c r="AM709" s="26">
        <v>1488502.7597000001</v>
      </c>
      <c r="AN709" s="31">
        <v>162931.6924</v>
      </c>
      <c r="AO709" s="32">
        <v>313333.12446105998</v>
      </c>
      <c r="AP709" s="77">
        <f>+N709-'Приложение №2'!E709</f>
        <v>0</v>
      </c>
      <c r="AQ709" s="28">
        <f>549431.36-R410</f>
        <v>-131401.5</v>
      </c>
      <c r="AR709" s="1">
        <f t="shared" si="245"/>
        <v>131401.5</v>
      </c>
      <c r="AS709" s="1">
        <f t="shared" si="246"/>
        <v>3735582.6662320001</v>
      </c>
      <c r="AT709" s="28">
        <f t="shared" si="233"/>
        <v>0</v>
      </c>
      <c r="AU709" s="28">
        <f>+P709-'[6]Приложение №1'!$P676</f>
        <v>0</v>
      </c>
      <c r="AV709" s="28">
        <f>+Q709-'[6]Приложение №1'!$Q676</f>
        <v>0</v>
      </c>
      <c r="AW709" s="28">
        <f>+R709-'[6]Приложение №1'!$R676</f>
        <v>0</v>
      </c>
      <c r="AX709" s="28">
        <f>+S709-'[6]Приложение №1'!$S676</f>
        <v>0</v>
      </c>
      <c r="AY709" s="28">
        <f>+T709-'[6]Приложение №1'!$T676</f>
        <v>0</v>
      </c>
    </row>
    <row r="710" spans="1:51" x14ac:dyDescent="0.25">
      <c r="A710" s="139">
        <f t="shared" si="235"/>
        <v>691</v>
      </c>
      <c r="B710" s="140">
        <f t="shared" si="236"/>
        <v>229</v>
      </c>
      <c r="C710" s="120" t="s">
        <v>46</v>
      </c>
      <c r="D710" s="120" t="s">
        <v>185</v>
      </c>
      <c r="E710" s="121">
        <v>1970</v>
      </c>
      <c r="F710" s="121">
        <v>2015</v>
      </c>
      <c r="G710" s="121" t="s">
        <v>43</v>
      </c>
      <c r="H710" s="121">
        <v>4</v>
      </c>
      <c r="I710" s="121">
        <v>2</v>
      </c>
      <c r="J710" s="107">
        <v>1397.9</v>
      </c>
      <c r="K710" s="107">
        <v>1284</v>
      </c>
      <c r="L710" s="107">
        <v>0</v>
      </c>
      <c r="M710" s="122">
        <v>70</v>
      </c>
      <c r="N710" s="123">
        <f t="shared" si="239"/>
        <v>3861710.0242000008</v>
      </c>
      <c r="O710" s="107"/>
      <c r="P710" s="108">
        <v>1025873.1100000001</v>
      </c>
      <c r="Q710" s="108"/>
      <c r="R710" s="108">
        <f>+AR710</f>
        <v>130968</v>
      </c>
      <c r="S710" s="108">
        <f t="shared" si="244"/>
        <v>0</v>
      </c>
      <c r="T710" s="108">
        <f>+'Приложение №2'!E710-'Приложение №1'!P710-'Приложение №1'!R710-'Приложение №1'!S710</f>
        <v>2704868.9142000005</v>
      </c>
      <c r="U710" s="108">
        <f t="shared" si="232"/>
        <v>3007.5623241433027</v>
      </c>
      <c r="V710" s="108">
        <v>1397.2830200640001</v>
      </c>
      <c r="W710" s="135">
        <v>2024</v>
      </c>
      <c r="X710" s="28" t="e">
        <f>+#REF!-'[1]Приложение №1'!$P1850</f>
        <v>#REF!</v>
      </c>
      <c r="Z710" s="30">
        <f t="shared" si="243"/>
        <v>16240473.409999998</v>
      </c>
      <c r="AA710" s="26">
        <v>3658298.7075726003</v>
      </c>
      <c r="AB710" s="26">
        <v>1341507.9059104801</v>
      </c>
      <c r="AC710" s="26">
        <v>1401560.9593595399</v>
      </c>
      <c r="AD710" s="26">
        <v>877482.32671679999</v>
      </c>
      <c r="AE710" s="26">
        <v>0</v>
      </c>
      <c r="AF710" s="26"/>
      <c r="AG710" s="26">
        <v>120770.72210951999</v>
      </c>
      <c r="AH710" s="26">
        <v>0</v>
      </c>
      <c r="AI710" s="26">
        <v>6882439.7186495997</v>
      </c>
      <c r="AJ710" s="26">
        <v>0</v>
      </c>
      <c r="AK710" s="26">
        <v>0</v>
      </c>
      <c r="AL710" s="26">
        <v>0</v>
      </c>
      <c r="AM710" s="26">
        <v>1483688.602</v>
      </c>
      <c r="AN710" s="31">
        <v>162404.7341</v>
      </c>
      <c r="AO710" s="32">
        <v>312319.73358146002</v>
      </c>
      <c r="AP710" s="77">
        <f>+N710-'Приложение №2'!E710</f>
        <v>0</v>
      </c>
      <c r="AQ710" s="28">
        <f>534189.3-R411</f>
        <v>-130968</v>
      </c>
      <c r="AR710" s="1">
        <f t="shared" si="245"/>
        <v>130968</v>
      </c>
      <c r="AS710" s="1">
        <f t="shared" si="246"/>
        <v>0</v>
      </c>
      <c r="AT710" s="28">
        <f t="shared" si="233"/>
        <v>0</v>
      </c>
      <c r="AU710" s="28">
        <f>+P710-'[6]Приложение №1'!$P677</f>
        <v>0</v>
      </c>
      <c r="AV710" s="28">
        <f>+Q710-'[6]Приложение №1'!$Q677</f>
        <v>0</v>
      </c>
      <c r="AW710" s="28">
        <f>+R710-'[6]Приложение №1'!$R677</f>
        <v>0</v>
      </c>
      <c r="AX710" s="28">
        <f>+S710-'[6]Приложение №1'!$S677</f>
        <v>0</v>
      </c>
      <c r="AY710" s="28">
        <f>+T710-'[6]Приложение №1'!$T677</f>
        <v>0</v>
      </c>
    </row>
    <row r="711" spans="1:51" x14ac:dyDescent="0.25">
      <c r="A711" s="139">
        <f t="shared" si="235"/>
        <v>692</v>
      </c>
      <c r="B711" s="140">
        <f t="shared" si="236"/>
        <v>230</v>
      </c>
      <c r="C711" s="120" t="s">
        <v>46</v>
      </c>
      <c r="D711" s="120" t="s">
        <v>186</v>
      </c>
      <c r="E711" s="121">
        <v>1970</v>
      </c>
      <c r="F711" s="121">
        <v>2015</v>
      </c>
      <c r="G711" s="121" t="s">
        <v>43</v>
      </c>
      <c r="H711" s="121">
        <v>4</v>
      </c>
      <c r="I711" s="121">
        <v>2</v>
      </c>
      <c r="J711" s="107">
        <v>1401</v>
      </c>
      <c r="K711" s="107">
        <v>1279.2</v>
      </c>
      <c r="L711" s="107">
        <v>0</v>
      </c>
      <c r="M711" s="122">
        <v>66</v>
      </c>
      <c r="N711" s="123">
        <f t="shared" ref="N711:N743" si="247">SUM(O711:T711)</f>
        <v>3861106.1622000011</v>
      </c>
      <c r="O711" s="107"/>
      <c r="P711" s="108">
        <v>1025712.6925</v>
      </c>
      <c r="Q711" s="108"/>
      <c r="R711" s="108">
        <f>+AR711</f>
        <v>130478.39999999999</v>
      </c>
      <c r="S711" s="108">
        <f t="shared" si="244"/>
        <v>0</v>
      </c>
      <c r="T711" s="108">
        <f>+'Приложение №2'!E711-'Приложение №1'!P711-'Приложение №1'!R711-'Приложение №1'!S711</f>
        <v>2704915.0697000008</v>
      </c>
      <c r="U711" s="108">
        <f t="shared" si="232"/>
        <v>3018.3756740150102</v>
      </c>
      <c r="V711" s="108">
        <v>1398.2830200640001</v>
      </c>
      <c r="W711" s="135">
        <v>2024</v>
      </c>
      <c r="X711" s="28" t="e">
        <f>+#REF!-'[1]Приложение №1'!$P1851</f>
        <v>#REF!</v>
      </c>
      <c r="Z711" s="30">
        <f t="shared" si="243"/>
        <v>16237933.850000001</v>
      </c>
      <c r="AA711" s="26">
        <v>3657726.6514807204</v>
      </c>
      <c r="AB711" s="26">
        <v>1341298.1279300398</v>
      </c>
      <c r="AC711" s="26">
        <v>1401341.7924949802</v>
      </c>
      <c r="AD711" s="26">
        <v>877345.11290495994</v>
      </c>
      <c r="AE711" s="26">
        <v>0</v>
      </c>
      <c r="AF711" s="26"/>
      <c r="AG711" s="26">
        <v>120751.8388482</v>
      </c>
      <c r="AH711" s="26">
        <v>0</v>
      </c>
      <c r="AI711" s="26">
        <v>6881363.4984066002</v>
      </c>
      <c r="AJ711" s="26">
        <v>0</v>
      </c>
      <c r="AK711" s="26">
        <v>0</v>
      </c>
      <c r="AL711" s="26">
        <v>0</v>
      </c>
      <c r="AM711" s="26">
        <v>1483456.594</v>
      </c>
      <c r="AN711" s="31">
        <v>162379.33850000001</v>
      </c>
      <c r="AO711" s="32">
        <v>312270.89543449995</v>
      </c>
      <c r="AP711" s="77">
        <f>+N711-'Приложение №2'!E711</f>
        <v>0</v>
      </c>
      <c r="AQ711" s="28">
        <f>622232.81-R412</f>
        <v>-130478.40000000002</v>
      </c>
      <c r="AR711" s="1">
        <f t="shared" si="245"/>
        <v>130478.39999999999</v>
      </c>
      <c r="AS711" s="1">
        <f t="shared" si="246"/>
        <v>0</v>
      </c>
      <c r="AT711" s="28">
        <f t="shared" si="233"/>
        <v>0</v>
      </c>
      <c r="AU711" s="28">
        <f>+P711-'[6]Приложение №1'!$P678</f>
        <v>0</v>
      </c>
      <c r="AV711" s="28">
        <f>+Q711-'[6]Приложение №1'!$Q678</f>
        <v>0</v>
      </c>
      <c r="AW711" s="28">
        <f>+R711-'[6]Приложение №1'!$R678</f>
        <v>0</v>
      </c>
      <c r="AX711" s="28">
        <f>+S711-'[6]Приложение №1'!$S678</f>
        <v>0</v>
      </c>
      <c r="AY711" s="28">
        <f>+T711-'[6]Приложение №1'!$T678</f>
        <v>0</v>
      </c>
    </row>
    <row r="712" spans="1:51" x14ac:dyDescent="0.25">
      <c r="A712" s="139">
        <f t="shared" si="235"/>
        <v>693</v>
      </c>
      <c r="B712" s="140">
        <f t="shared" si="236"/>
        <v>231</v>
      </c>
      <c r="C712" s="120" t="s">
        <v>46</v>
      </c>
      <c r="D712" s="120" t="s">
        <v>189</v>
      </c>
      <c r="E712" s="121">
        <v>1969</v>
      </c>
      <c r="F712" s="121">
        <v>2013</v>
      </c>
      <c r="G712" s="121" t="s">
        <v>43</v>
      </c>
      <c r="H712" s="121">
        <v>4</v>
      </c>
      <c r="I712" s="121">
        <v>2</v>
      </c>
      <c r="J712" s="107">
        <v>1404.7</v>
      </c>
      <c r="K712" s="107">
        <v>951</v>
      </c>
      <c r="L712" s="107">
        <v>348.8</v>
      </c>
      <c r="M712" s="122">
        <v>39</v>
      </c>
      <c r="N712" s="123">
        <f t="shared" si="247"/>
        <v>4238137.3835959993</v>
      </c>
      <c r="O712" s="107"/>
      <c r="P712" s="108"/>
      <c r="Q712" s="108"/>
      <c r="R712" s="108">
        <f>+AQ712+AR712</f>
        <v>0</v>
      </c>
      <c r="S712" s="108">
        <f>+'Приложение №2'!E712-'Приложение №1'!R712</f>
        <v>4238137.3835959993</v>
      </c>
      <c r="T712" s="108">
        <v>0</v>
      </c>
      <c r="U712" s="108">
        <f t="shared" si="232"/>
        <v>4456.506186746582</v>
      </c>
      <c r="V712" s="108">
        <v>1399.2830200640001</v>
      </c>
      <c r="W712" s="135">
        <v>2024</v>
      </c>
      <c r="X712" s="28" t="e">
        <f>+#REF!-'[1]Приложение №1'!$P1852</f>
        <v>#REF!</v>
      </c>
      <c r="Z712" s="30">
        <f t="shared" si="243"/>
        <v>16476652.310000001</v>
      </c>
      <c r="AA712" s="26">
        <v>3711499.9241174399</v>
      </c>
      <c r="AB712" s="26">
        <v>1361016.9358384202</v>
      </c>
      <c r="AC712" s="26">
        <v>1421943.3122823602</v>
      </c>
      <c r="AD712" s="26">
        <v>890243.21121792006</v>
      </c>
      <c r="AE712" s="26">
        <v>0</v>
      </c>
      <c r="AF712" s="26"/>
      <c r="AG712" s="26">
        <v>122527.0476276</v>
      </c>
      <c r="AH712" s="26">
        <v>0</v>
      </c>
      <c r="AI712" s="26">
        <v>6982528.3685892001</v>
      </c>
      <c r="AJ712" s="26">
        <v>0</v>
      </c>
      <c r="AK712" s="26">
        <v>0</v>
      </c>
      <c r="AL712" s="26">
        <v>0</v>
      </c>
      <c r="AM712" s="26">
        <v>1505265.3089999999</v>
      </c>
      <c r="AN712" s="31">
        <v>164766.52309999999</v>
      </c>
      <c r="AO712" s="32">
        <v>316861.67822706001</v>
      </c>
      <c r="AP712" s="77">
        <f>+N712-'Приложение №2'!E712</f>
        <v>0</v>
      </c>
      <c r="AQ712" s="28">
        <f>410687.73-R413</f>
        <v>-168157.19999999995</v>
      </c>
      <c r="AR712" s="1">
        <f t="shared" si="245"/>
        <v>168157.19999999998</v>
      </c>
      <c r="AS712" s="1">
        <f t="shared" si="246"/>
        <v>4913390.4841259997</v>
      </c>
      <c r="AT712" s="28">
        <f t="shared" si="233"/>
        <v>-675253.1005300004</v>
      </c>
      <c r="AU712" s="28">
        <f>+P712-'[6]Приложение №1'!$P679</f>
        <v>0</v>
      </c>
      <c r="AV712" s="28">
        <f>+Q712-'[6]Приложение №1'!$Q679</f>
        <v>0</v>
      </c>
      <c r="AW712" s="28">
        <f>+R712-'[6]Приложение №1'!$R679</f>
        <v>0</v>
      </c>
      <c r="AX712" s="28">
        <f>+S712-'[6]Приложение №1'!$S679</f>
        <v>0</v>
      </c>
      <c r="AY712" s="28">
        <f>+T712-'[6]Приложение №1'!$T679</f>
        <v>0</v>
      </c>
    </row>
    <row r="713" spans="1:51" x14ac:dyDescent="0.25">
      <c r="A713" s="139">
        <f t="shared" si="235"/>
        <v>694</v>
      </c>
      <c r="B713" s="140">
        <f t="shared" si="236"/>
        <v>232</v>
      </c>
      <c r="C713" s="120" t="s">
        <v>46</v>
      </c>
      <c r="D713" s="120" t="s">
        <v>190</v>
      </c>
      <c r="E713" s="121">
        <v>1969</v>
      </c>
      <c r="F713" s="121">
        <v>2015</v>
      </c>
      <c r="G713" s="121" t="s">
        <v>43</v>
      </c>
      <c r="H713" s="121">
        <v>4</v>
      </c>
      <c r="I713" s="121">
        <v>2</v>
      </c>
      <c r="J713" s="107">
        <v>1374</v>
      </c>
      <c r="K713" s="107">
        <v>1181.29</v>
      </c>
      <c r="L713" s="107">
        <v>71.900000000000006</v>
      </c>
      <c r="M713" s="122">
        <v>60</v>
      </c>
      <c r="N713" s="123">
        <f t="shared" si="247"/>
        <v>4089147.5498059997</v>
      </c>
      <c r="O713" s="107"/>
      <c r="P713" s="108">
        <v>1032644.9850015</v>
      </c>
      <c r="Q713" s="108"/>
      <c r="R713" s="108">
        <f t="shared" ref="R713:S715" si="248">+AR713</f>
        <v>135159.18</v>
      </c>
      <c r="S713" s="108">
        <f t="shared" si="248"/>
        <v>0</v>
      </c>
      <c r="T713" s="108">
        <f>+'Приложение №2'!E713-'Приложение №1'!P713-'Приложение №1'!R713-'Приложение №1'!S713</f>
        <v>2921343.3848044998</v>
      </c>
      <c r="U713" s="108">
        <f t="shared" si="232"/>
        <v>3461.5949934444548</v>
      </c>
      <c r="V713" s="108">
        <v>1400.2830200640001</v>
      </c>
      <c r="W713" s="135">
        <v>2024</v>
      </c>
      <c r="X713" s="28" t="e">
        <f>+#REF!-'[1]Приложение №1'!$P1853</f>
        <v>#REF!</v>
      </c>
      <c r="Z713" s="30">
        <f t="shared" si="243"/>
        <v>15905124.779999999</v>
      </c>
      <c r="AA713" s="26">
        <v>3582758.6997493198</v>
      </c>
      <c r="AB713" s="26">
        <v>1313807.1878118601</v>
      </c>
      <c r="AC713" s="26">
        <v>1372620.2030843401</v>
      </c>
      <c r="AD713" s="26">
        <v>859363.24454651994</v>
      </c>
      <c r="AE713" s="26">
        <v>0</v>
      </c>
      <c r="AF713" s="26"/>
      <c r="AG713" s="26">
        <v>118276.93283028001</v>
      </c>
      <c r="AH713" s="26">
        <v>0</v>
      </c>
      <c r="AI713" s="26">
        <v>6740324.6043672003</v>
      </c>
      <c r="AJ713" s="26">
        <v>0</v>
      </c>
      <c r="AK713" s="26">
        <v>0</v>
      </c>
      <c r="AL713" s="26">
        <v>0</v>
      </c>
      <c r="AM713" s="26">
        <v>1453051.9989999998</v>
      </c>
      <c r="AN713" s="31">
        <v>159051.24780000001</v>
      </c>
      <c r="AO713" s="32">
        <v>305870.66081048007</v>
      </c>
      <c r="AP713" s="77">
        <f>+N713-'Приложение №2'!E713</f>
        <v>0</v>
      </c>
      <c r="AQ713" s="28">
        <f>518977.37-R414</f>
        <v>-135159.18000000005</v>
      </c>
      <c r="AR713" s="1">
        <f t="shared" si="245"/>
        <v>135159.18</v>
      </c>
      <c r="AS713" s="1">
        <f t="shared" si="246"/>
        <v>0</v>
      </c>
      <c r="AT713" s="28">
        <f t="shared" si="233"/>
        <v>0</v>
      </c>
      <c r="AU713" s="28">
        <f>+P713-'[6]Приложение №1'!$P680</f>
        <v>0</v>
      </c>
      <c r="AV713" s="28">
        <f>+Q713-'[6]Приложение №1'!$Q680</f>
        <v>0</v>
      </c>
      <c r="AW713" s="28">
        <f>+R713-'[6]Приложение №1'!$R680</f>
        <v>0</v>
      </c>
      <c r="AX713" s="28">
        <f>+S713-'[6]Приложение №1'!$S680</f>
        <v>0</v>
      </c>
      <c r="AY713" s="28">
        <f>+T713-'[6]Приложение №1'!$T680</f>
        <v>0</v>
      </c>
    </row>
    <row r="714" spans="1:51" x14ac:dyDescent="0.25">
      <c r="A714" s="139">
        <f t="shared" si="235"/>
        <v>695</v>
      </c>
      <c r="B714" s="140">
        <f t="shared" si="236"/>
        <v>233</v>
      </c>
      <c r="C714" s="120" t="s">
        <v>46</v>
      </c>
      <c r="D714" s="120" t="s">
        <v>192</v>
      </c>
      <c r="E714" s="121">
        <v>1968</v>
      </c>
      <c r="F714" s="121">
        <v>2013</v>
      </c>
      <c r="G714" s="121" t="s">
        <v>43</v>
      </c>
      <c r="H714" s="121">
        <v>4</v>
      </c>
      <c r="I714" s="121">
        <v>2</v>
      </c>
      <c r="J714" s="107">
        <v>1377</v>
      </c>
      <c r="K714" s="107">
        <v>1273</v>
      </c>
      <c r="L714" s="107">
        <v>0</v>
      </c>
      <c r="M714" s="122">
        <v>50</v>
      </c>
      <c r="N714" s="123">
        <f t="shared" si="247"/>
        <v>4157310.9491940001</v>
      </c>
      <c r="O714" s="107"/>
      <c r="P714" s="108">
        <v>1051075.2086485</v>
      </c>
      <c r="Q714" s="108"/>
      <c r="R714" s="108">
        <f t="shared" si="248"/>
        <v>129846</v>
      </c>
      <c r="S714" s="108">
        <f t="shared" si="248"/>
        <v>0</v>
      </c>
      <c r="T714" s="108">
        <f>+'Приложение №2'!E714-'Приложение №1'!P714-'Приложение №1'!R714-'Приложение №1'!S714</f>
        <v>2976389.7405455001</v>
      </c>
      <c r="U714" s="108">
        <f t="shared" si="232"/>
        <v>3265.7587974815397</v>
      </c>
      <c r="V714" s="108">
        <v>1401.2830200640001</v>
      </c>
      <c r="W714" s="135">
        <v>2024</v>
      </c>
      <c r="X714" s="28" t="e">
        <f>+#REF!-'[1]Приложение №1'!$P1854</f>
        <v>#REF!</v>
      </c>
      <c r="Z714" s="30">
        <f t="shared" si="243"/>
        <v>16166826.229999997</v>
      </c>
      <c r="AA714" s="26">
        <v>3641709.0809080796</v>
      </c>
      <c r="AB714" s="26">
        <v>1335424.4489922002</v>
      </c>
      <c r="AC714" s="26">
        <v>1395205.1725445401</v>
      </c>
      <c r="AD714" s="26">
        <v>873503.12617344002</v>
      </c>
      <c r="AE714" s="26">
        <v>0</v>
      </c>
      <c r="AF714" s="26"/>
      <c r="AG714" s="26">
        <v>120223.04998956002</v>
      </c>
      <c r="AH714" s="26">
        <v>0</v>
      </c>
      <c r="AI714" s="26">
        <v>6851229.2787581999</v>
      </c>
      <c r="AJ714" s="26">
        <v>0</v>
      </c>
      <c r="AK714" s="26">
        <v>0</v>
      </c>
      <c r="AL714" s="26">
        <v>0</v>
      </c>
      <c r="AM714" s="26">
        <v>1476960.3820000002</v>
      </c>
      <c r="AN714" s="31">
        <v>161668.2623</v>
      </c>
      <c r="AO714" s="32">
        <v>310903.42833397997</v>
      </c>
      <c r="AP714" s="77">
        <f>+N714-'Приложение №2'!E714</f>
        <v>0</v>
      </c>
      <c r="AQ714" s="28">
        <f>584753.55-R415</f>
        <v>-129846</v>
      </c>
      <c r="AR714" s="1">
        <f t="shared" si="245"/>
        <v>129846</v>
      </c>
      <c r="AS714" s="1">
        <f t="shared" si="246"/>
        <v>0</v>
      </c>
      <c r="AT714" s="28">
        <f t="shared" si="233"/>
        <v>0</v>
      </c>
      <c r="AU714" s="28">
        <f>+P714-'[6]Приложение №1'!$P681</f>
        <v>0</v>
      </c>
      <c r="AV714" s="28">
        <f>+Q714-'[6]Приложение №1'!$Q681</f>
        <v>0</v>
      </c>
      <c r="AW714" s="28">
        <f>+R714-'[6]Приложение №1'!$R681</f>
        <v>0</v>
      </c>
      <c r="AX714" s="28">
        <f>+S714-'[6]Приложение №1'!$S681</f>
        <v>0</v>
      </c>
      <c r="AY714" s="28">
        <f>+T714-'[6]Приложение №1'!$T681</f>
        <v>0</v>
      </c>
    </row>
    <row r="715" spans="1:51" x14ac:dyDescent="0.25">
      <c r="A715" s="139">
        <f t="shared" si="235"/>
        <v>696</v>
      </c>
      <c r="B715" s="140">
        <f t="shared" si="236"/>
        <v>234</v>
      </c>
      <c r="C715" s="120" t="s">
        <v>46</v>
      </c>
      <c r="D715" s="120" t="s">
        <v>191</v>
      </c>
      <c r="E715" s="121">
        <v>1968</v>
      </c>
      <c r="F715" s="121">
        <v>2013</v>
      </c>
      <c r="G715" s="121" t="s">
        <v>43</v>
      </c>
      <c r="H715" s="121">
        <v>4</v>
      </c>
      <c r="I715" s="121">
        <v>2</v>
      </c>
      <c r="J715" s="107">
        <v>1327.8</v>
      </c>
      <c r="K715" s="107">
        <v>1187.9000000000001</v>
      </c>
      <c r="L715" s="107">
        <v>88.4</v>
      </c>
      <c r="M715" s="122">
        <v>51</v>
      </c>
      <c r="N715" s="123">
        <f t="shared" si="247"/>
        <v>3931333.1229040008</v>
      </c>
      <c r="O715" s="107"/>
      <c r="P715" s="108">
        <v>981537.54032600031</v>
      </c>
      <c r="Q715" s="108"/>
      <c r="R715" s="108">
        <f t="shared" si="248"/>
        <v>139199.4</v>
      </c>
      <c r="S715" s="108">
        <f t="shared" si="248"/>
        <v>0</v>
      </c>
      <c r="T715" s="108">
        <f>+'Приложение №2'!E715-'Приложение №1'!P715-'Приложение №1'!R715-'Приложение №1'!S715</f>
        <v>2810596.1825780007</v>
      </c>
      <c r="U715" s="108">
        <f t="shared" si="232"/>
        <v>3309.4815412947223</v>
      </c>
      <c r="V715" s="108">
        <v>1402.2830200640001</v>
      </c>
      <c r="W715" s="135">
        <v>2024</v>
      </c>
      <c r="X715" s="28" t="e">
        <f>+#REF!-'[1]Приложение №1'!$P1855</f>
        <v>#REF!</v>
      </c>
      <c r="Z715" s="30">
        <f t="shared" si="243"/>
        <v>15295757.840000004</v>
      </c>
      <c r="AA715" s="26">
        <v>3445493.8413932403</v>
      </c>
      <c r="AB715" s="26">
        <v>1263471.7949082602</v>
      </c>
      <c r="AC715" s="26">
        <v>1320031.53024918</v>
      </c>
      <c r="AD715" s="26">
        <v>826438.78871232003</v>
      </c>
      <c r="AE715" s="26">
        <v>0</v>
      </c>
      <c r="AF715" s="26"/>
      <c r="AG715" s="26">
        <v>113745.43921776001</v>
      </c>
      <c r="AH715" s="26">
        <v>0</v>
      </c>
      <c r="AI715" s="26">
        <v>6482085.1365060005</v>
      </c>
      <c r="AJ715" s="26">
        <v>0</v>
      </c>
      <c r="AK715" s="26">
        <v>0</v>
      </c>
      <c r="AL715" s="26">
        <v>0</v>
      </c>
      <c r="AM715" s="26">
        <v>1397381.7750000001</v>
      </c>
      <c r="AN715" s="31">
        <v>152957.5784</v>
      </c>
      <c r="AO715" s="32">
        <v>294151.95561324002</v>
      </c>
      <c r="AP715" s="77">
        <f>+N715-'Приложение №2'!E715</f>
        <v>0</v>
      </c>
      <c r="AQ715" s="28">
        <f>494971.38-R423</f>
        <v>-139199.40000000002</v>
      </c>
      <c r="AR715" s="1">
        <f t="shared" si="245"/>
        <v>139199.4</v>
      </c>
      <c r="AS715" s="1">
        <f>+(K715*10+L715*20)*12*30-S423</f>
        <v>0</v>
      </c>
      <c r="AT715" s="28">
        <f t="shared" si="233"/>
        <v>0</v>
      </c>
      <c r="AU715" s="28">
        <f>+P715-'[6]Приложение №1'!$P682</f>
        <v>0</v>
      </c>
      <c r="AV715" s="28">
        <f>+Q715-'[6]Приложение №1'!$Q682</f>
        <v>0</v>
      </c>
      <c r="AW715" s="28">
        <f>+R715-'[6]Приложение №1'!$R682</f>
        <v>0</v>
      </c>
      <c r="AX715" s="28">
        <f>+S715-'[6]Приложение №1'!$S682</f>
        <v>0</v>
      </c>
      <c r="AY715" s="28">
        <f>+T715-'[6]Приложение №1'!$T682</f>
        <v>0</v>
      </c>
    </row>
    <row r="716" spans="1:51" x14ac:dyDescent="0.25">
      <c r="A716" s="139">
        <f t="shared" si="235"/>
        <v>697</v>
      </c>
      <c r="B716" s="140">
        <f t="shared" si="236"/>
        <v>235</v>
      </c>
      <c r="C716" s="120" t="s">
        <v>46</v>
      </c>
      <c r="D716" s="120" t="s">
        <v>648</v>
      </c>
      <c r="E716" s="121">
        <v>1991</v>
      </c>
      <c r="F716" s="121">
        <v>2015</v>
      </c>
      <c r="G716" s="121" t="s">
        <v>43</v>
      </c>
      <c r="H716" s="121">
        <v>9</v>
      </c>
      <c r="I716" s="121">
        <v>3</v>
      </c>
      <c r="J716" s="107">
        <v>6893.1</v>
      </c>
      <c r="K716" s="107">
        <v>6102.4</v>
      </c>
      <c r="L716" s="107">
        <v>65.5</v>
      </c>
      <c r="M716" s="122">
        <v>255</v>
      </c>
      <c r="N716" s="123">
        <f t="shared" si="247"/>
        <v>21500334.586100001</v>
      </c>
      <c r="O716" s="107"/>
      <c r="P716" s="108">
        <v>4707435.7713200003</v>
      </c>
      <c r="Q716" s="108"/>
      <c r="R716" s="108">
        <f>+AR716</f>
        <v>842274.75119999982</v>
      </c>
      <c r="S716" s="108">
        <v>0</v>
      </c>
      <c r="T716" s="108">
        <f>+'Приложение №2'!E716-'Приложение №1'!P716-'Приложение №1'!R716-'Приложение №1'!S716</f>
        <v>15950624.063580001</v>
      </c>
      <c r="U716" s="108">
        <f t="shared" si="232"/>
        <v>3523.2588139256691</v>
      </c>
      <c r="V716" s="108">
        <v>1403.2830200640001</v>
      </c>
      <c r="W716" s="135">
        <v>2024</v>
      </c>
      <c r="X716" s="28" t="e">
        <f>+#REF!-'[1]Приложение №1'!$P1533</f>
        <v>#REF!</v>
      </c>
      <c r="Z716" s="30">
        <f t="shared" si="243"/>
        <v>135273087.03</v>
      </c>
      <c r="AA716" s="26">
        <v>14114712.016718039</v>
      </c>
      <c r="AB716" s="26">
        <v>9686997.1466872804</v>
      </c>
      <c r="AC716" s="26">
        <v>5896650.3147518393</v>
      </c>
      <c r="AD716" s="26">
        <v>5320168.0919898003</v>
      </c>
      <c r="AE716" s="26">
        <v>0</v>
      </c>
      <c r="AF716" s="26"/>
      <c r="AG716" s="26">
        <v>679030.95234239998</v>
      </c>
      <c r="AH716" s="26">
        <v>0</v>
      </c>
      <c r="AI716" s="26">
        <v>6885510.0487487996</v>
      </c>
      <c r="AJ716" s="26">
        <v>0</v>
      </c>
      <c r="AK716" s="26">
        <v>59777000.180442296</v>
      </c>
      <c r="AL716" s="26">
        <v>15720059.33396766</v>
      </c>
      <c r="AM716" s="26">
        <v>13258054.825500002</v>
      </c>
      <c r="AN716" s="31">
        <v>1352730.8703000001</v>
      </c>
      <c r="AO716" s="32">
        <v>2582173.2485518805</v>
      </c>
      <c r="AP716" s="77">
        <f>+N716-'Приложение №2'!E716</f>
        <v>0</v>
      </c>
      <c r="AQ716" s="28" t="e">
        <f>3490024.25-#REF!-R424</f>
        <v>#REF!</v>
      </c>
      <c r="AR716" s="1">
        <f t="shared" ref="AR716:AR722" si="249">+(K716*13.29+L716*22.52)*12*0.85</f>
        <v>842274.75119999982</v>
      </c>
      <c r="AS716" s="1" t="e">
        <f>+(K716*13.29+L716*22.52)*12*30-#REF!-S424</f>
        <v>#REF!</v>
      </c>
      <c r="AT716" s="28" t="e">
        <f t="shared" si="233"/>
        <v>#REF!</v>
      </c>
      <c r="AU716" s="28">
        <f>+P716-'[6]Приложение №1'!$P683</f>
        <v>0</v>
      </c>
      <c r="AV716" s="28">
        <f>+Q716-'[6]Приложение №1'!$Q683</f>
        <v>0</v>
      </c>
      <c r="AW716" s="28">
        <f>+R716-'[6]Приложение №1'!$R683</f>
        <v>0</v>
      </c>
      <c r="AX716" s="28">
        <f>+S716-'[6]Приложение №1'!$S683</f>
        <v>0</v>
      </c>
      <c r="AY716" s="28">
        <f>+T716-'[6]Приложение №1'!$T683</f>
        <v>0</v>
      </c>
    </row>
    <row r="717" spans="1:51" x14ac:dyDescent="0.25">
      <c r="A717" s="139">
        <f t="shared" si="235"/>
        <v>698</v>
      </c>
      <c r="B717" s="140">
        <f t="shared" si="236"/>
        <v>236</v>
      </c>
      <c r="C717" s="120" t="s">
        <v>46</v>
      </c>
      <c r="D717" s="120" t="s">
        <v>663</v>
      </c>
      <c r="E717" s="121">
        <v>1992</v>
      </c>
      <c r="F717" s="121">
        <v>2016</v>
      </c>
      <c r="G717" s="121" t="s">
        <v>43</v>
      </c>
      <c r="H717" s="121">
        <v>9</v>
      </c>
      <c r="I717" s="121">
        <v>3</v>
      </c>
      <c r="J717" s="107">
        <v>6894.8</v>
      </c>
      <c r="K717" s="107">
        <v>6109.5</v>
      </c>
      <c r="L717" s="107">
        <v>0</v>
      </c>
      <c r="M717" s="122">
        <v>249</v>
      </c>
      <c r="N717" s="123">
        <f t="shared" si="247"/>
        <v>51456537.748099998</v>
      </c>
      <c r="O717" s="107"/>
      <c r="P717" s="108">
        <f>4959238.56468-4454580</f>
        <v>504658.56467999984</v>
      </c>
      <c r="Q717" s="108"/>
      <c r="R717" s="108">
        <f t="shared" ref="R717:R723" si="250">+AQ717+AR717</f>
        <v>4228044.5309999995</v>
      </c>
      <c r="S717" s="108">
        <f>+AS717</f>
        <v>29230291.799999993</v>
      </c>
      <c r="T717" s="108">
        <f>+'Приложение №2'!E717-'Приложение №1'!P717-'Приложение №1'!R717-'Приложение №1'!S717</f>
        <v>17493542.852420006</v>
      </c>
      <c r="U717" s="108">
        <f t="shared" si="232"/>
        <v>8422.3811683607491</v>
      </c>
      <c r="V717" s="108">
        <v>1404.2830200640001</v>
      </c>
      <c r="W717" s="135">
        <v>2024</v>
      </c>
      <c r="X717" s="28" t="e">
        <f>+#REF!-'[1]Приложение №1'!$P828</f>
        <v>#REF!</v>
      </c>
      <c r="Z717" s="30">
        <f t="shared" si="243"/>
        <v>57606078.690000005</v>
      </c>
      <c r="AA717" s="26">
        <v>13823112.483911639</v>
      </c>
      <c r="AB717" s="26">
        <v>9486870.9391226396</v>
      </c>
      <c r="AC717" s="26">
        <v>5774829.8742573597</v>
      </c>
      <c r="AD717" s="26">
        <v>5210257.3459977591</v>
      </c>
      <c r="AE717" s="26">
        <v>0</v>
      </c>
      <c r="AF717" s="26"/>
      <c r="AG717" s="26">
        <v>665002.67436960002</v>
      </c>
      <c r="AH717" s="26">
        <v>0</v>
      </c>
      <c r="AI717" s="26">
        <v>0</v>
      </c>
      <c r="AJ717" s="26">
        <v>0</v>
      </c>
      <c r="AK717" s="26">
        <v>0</v>
      </c>
      <c r="AL717" s="26">
        <v>15395294.52263166</v>
      </c>
      <c r="AM717" s="26">
        <v>5573480.1550000012</v>
      </c>
      <c r="AN717" s="31">
        <v>576060.78690000006</v>
      </c>
      <c r="AO717" s="32">
        <v>1101169.9078093402</v>
      </c>
      <c r="AP717" s="77">
        <f>+N717-'Приложение №2'!E717</f>
        <v>0</v>
      </c>
      <c r="AQ717" s="1">
        <v>3399852.93</v>
      </c>
      <c r="AR717" s="1">
        <f t="shared" si="249"/>
        <v>828191.60099999979</v>
      </c>
      <c r="AS717" s="1">
        <f>+(K717*13.29+L717*22.52)*12*30</f>
        <v>29230291.799999993</v>
      </c>
      <c r="AT717" s="28">
        <f t="shared" si="233"/>
        <v>0</v>
      </c>
      <c r="AU717" s="28">
        <f>+P717-'[6]Приложение №1'!$P684</f>
        <v>-4454580.0000000019</v>
      </c>
      <c r="AV717" s="28">
        <f>+Q717-'[6]Приложение №1'!$Q684</f>
        <v>0</v>
      </c>
      <c r="AW717" s="28">
        <f>+R717-'[6]Приложение №1'!$R684</f>
        <v>0</v>
      </c>
      <c r="AX717" s="28">
        <f>+S717-'[6]Приложение №1'!$S684</f>
        <v>0</v>
      </c>
      <c r="AY717" s="28">
        <f>+T717-'[6]Приложение №1'!$T684</f>
        <v>4454580</v>
      </c>
    </row>
    <row r="718" spans="1:51" x14ac:dyDescent="0.25">
      <c r="A718" s="139">
        <f t="shared" si="235"/>
        <v>699</v>
      </c>
      <c r="B718" s="140">
        <f t="shared" si="236"/>
        <v>237</v>
      </c>
      <c r="C718" s="120" t="s">
        <v>46</v>
      </c>
      <c r="D718" s="120" t="s">
        <v>664</v>
      </c>
      <c r="E718" s="121">
        <v>1983</v>
      </c>
      <c r="F718" s="121">
        <v>2015</v>
      </c>
      <c r="G718" s="121" t="s">
        <v>43</v>
      </c>
      <c r="H718" s="121">
        <v>9</v>
      </c>
      <c r="I718" s="121">
        <v>1</v>
      </c>
      <c r="J718" s="107">
        <v>5368</v>
      </c>
      <c r="K718" s="107">
        <v>4278.88</v>
      </c>
      <c r="L718" s="107">
        <v>61.4</v>
      </c>
      <c r="M718" s="122">
        <v>194</v>
      </c>
      <c r="N718" s="123">
        <f t="shared" si="247"/>
        <v>4344120.7939999998</v>
      </c>
      <c r="O718" s="107"/>
      <c r="P718" s="108"/>
      <c r="Q718" s="108"/>
      <c r="R718" s="108">
        <f t="shared" si="250"/>
        <v>3029155.0006399998</v>
      </c>
      <c r="S718" s="108">
        <f>+'Приложение №2'!E718-'Приложение №1'!R718</f>
        <v>1314965.79336</v>
      </c>
      <c r="T718" s="108">
        <v>0</v>
      </c>
      <c r="U718" s="108">
        <f t="shared" si="232"/>
        <v>1015.2471660808435</v>
      </c>
      <c r="V718" s="108">
        <v>1405.2830200640001</v>
      </c>
      <c r="W718" s="135">
        <v>2024</v>
      </c>
      <c r="X718" s="28" t="e">
        <f>+#REF!-'[1]Приложение №1'!$P832</f>
        <v>#REF!</v>
      </c>
      <c r="Z718" s="30">
        <f t="shared" si="243"/>
        <v>4881034.5999999996</v>
      </c>
      <c r="AA718" s="26">
        <v>0</v>
      </c>
      <c r="AB718" s="26">
        <v>0</v>
      </c>
      <c r="AC718" s="26">
        <v>4251156.6090083998</v>
      </c>
      <c r="AD718" s="26">
        <v>0</v>
      </c>
      <c r="AE718" s="26">
        <v>0</v>
      </c>
      <c r="AF718" s="26"/>
      <c r="AG718" s="26">
        <v>0</v>
      </c>
      <c r="AH718" s="26">
        <v>0</v>
      </c>
      <c r="AI718" s="26">
        <v>0</v>
      </c>
      <c r="AJ718" s="26">
        <v>0</v>
      </c>
      <c r="AK718" s="26">
        <v>0</v>
      </c>
      <c r="AL718" s="26">
        <v>0</v>
      </c>
      <c r="AM718" s="26">
        <v>488103.45999999996</v>
      </c>
      <c r="AN718" s="31">
        <v>48810.345999999998</v>
      </c>
      <c r="AO718" s="32">
        <v>92964.184991599992</v>
      </c>
      <c r="AP718" s="77">
        <f>+N718-'Приложение №2'!E718</f>
        <v>0</v>
      </c>
      <c r="AQ718" s="1">
        <v>2435014.7599999998</v>
      </c>
      <c r="AR718" s="1">
        <f t="shared" si="249"/>
        <v>594140.24063999997</v>
      </c>
      <c r="AS718" s="1">
        <f>+(K718*13.29+L718*22.52)*12*30</f>
        <v>20969655.551999997</v>
      </c>
      <c r="AT718" s="28">
        <f t="shared" si="233"/>
        <v>-19654689.758639999</v>
      </c>
      <c r="AU718" s="28">
        <f>+P718-'[6]Приложение №1'!$P685</f>
        <v>0</v>
      </c>
      <c r="AV718" s="28">
        <f>+Q718-'[6]Приложение №1'!$Q685</f>
        <v>0</v>
      </c>
      <c r="AW718" s="28">
        <f>+R718-'[6]Приложение №1'!$R685</f>
        <v>0</v>
      </c>
      <c r="AX718" s="28">
        <f>+S718-'[6]Приложение №1'!$S685</f>
        <v>0</v>
      </c>
      <c r="AY718" s="28">
        <f>+T718-'[6]Приложение №1'!$T685</f>
        <v>0</v>
      </c>
    </row>
    <row r="719" spans="1:51" x14ac:dyDescent="0.25">
      <c r="A719" s="139">
        <f t="shared" si="235"/>
        <v>700</v>
      </c>
      <c r="B719" s="140">
        <f t="shared" si="236"/>
        <v>238</v>
      </c>
      <c r="C719" s="120" t="s">
        <v>46</v>
      </c>
      <c r="D719" s="120" t="s">
        <v>665</v>
      </c>
      <c r="E719" s="121">
        <v>1992</v>
      </c>
      <c r="F719" s="121">
        <v>2013</v>
      </c>
      <c r="G719" s="121" t="s">
        <v>43</v>
      </c>
      <c r="H719" s="121">
        <v>9</v>
      </c>
      <c r="I719" s="121">
        <v>1</v>
      </c>
      <c r="J719" s="107">
        <v>2277.4</v>
      </c>
      <c r="K719" s="107">
        <v>2020.55</v>
      </c>
      <c r="L719" s="107">
        <v>0</v>
      </c>
      <c r="M719" s="122">
        <v>98</v>
      </c>
      <c r="N719" s="123">
        <f t="shared" si="247"/>
        <v>3266851.3906</v>
      </c>
      <c r="O719" s="107"/>
      <c r="P719" s="108"/>
      <c r="Q719" s="108"/>
      <c r="R719" s="108">
        <f t="shared" si="250"/>
        <v>1485822.2269000001</v>
      </c>
      <c r="S719" s="108">
        <f>+'Приложение №2'!E719-'Приложение №1'!R719</f>
        <v>1781029.1636999999</v>
      </c>
      <c r="T719" s="108">
        <v>0</v>
      </c>
      <c r="U719" s="108">
        <f t="shared" si="232"/>
        <v>1616.8129423176858</v>
      </c>
      <c r="V719" s="108">
        <v>1406.2830200640001</v>
      </c>
      <c r="W719" s="135">
        <v>2024</v>
      </c>
      <c r="X719" s="28" t="e">
        <f>+#REF!-'[1]Приложение №1'!$P1622</f>
        <v>#REF!</v>
      </c>
      <c r="Z719" s="30">
        <f t="shared" si="243"/>
        <v>9135122.7100000009</v>
      </c>
      <c r="AA719" s="26">
        <v>4658192.5833370192</v>
      </c>
      <c r="AB719" s="26">
        <v>3196940.7708411599</v>
      </c>
      <c r="AC719" s="26">
        <v>0</v>
      </c>
      <c r="AD719" s="26">
        <v>0</v>
      </c>
      <c r="AE719" s="26">
        <v>0</v>
      </c>
      <c r="AF719" s="26"/>
      <c r="AG719" s="26">
        <v>224096.45637120001</v>
      </c>
      <c r="AH719" s="26">
        <v>0</v>
      </c>
      <c r="AI719" s="26">
        <v>0</v>
      </c>
      <c r="AJ719" s="26">
        <v>0</v>
      </c>
      <c r="AK719" s="26">
        <v>0</v>
      </c>
      <c r="AL719" s="26">
        <v>0</v>
      </c>
      <c r="AM719" s="26">
        <v>787865.27960000001</v>
      </c>
      <c r="AN719" s="31">
        <v>91351.227099999989</v>
      </c>
      <c r="AO719" s="32">
        <v>176676.39275062</v>
      </c>
      <c r="AP719" s="77">
        <f>+N719-'Приложение №2'!E719</f>
        <v>0</v>
      </c>
      <c r="AQ719" s="1">
        <v>1211920.51</v>
      </c>
      <c r="AR719" s="1">
        <f t="shared" si="249"/>
        <v>273901.7169</v>
      </c>
      <c r="AS719" s="1">
        <f>+(K719*13.29+L719*22.52)*12*30</f>
        <v>9667119.4199999999</v>
      </c>
      <c r="AT719" s="28">
        <f t="shared" si="233"/>
        <v>-7886090.2563000005</v>
      </c>
      <c r="AU719" s="28">
        <f>+P719-'[6]Приложение №1'!$P686</f>
        <v>0</v>
      </c>
      <c r="AV719" s="28">
        <f>+Q719-'[6]Приложение №1'!$Q686</f>
        <v>0</v>
      </c>
      <c r="AW719" s="28">
        <f>+R719-'[6]Приложение №1'!$R686</f>
        <v>0</v>
      </c>
      <c r="AX719" s="28">
        <f>+S719-'[6]Приложение №1'!$S686</f>
        <v>0</v>
      </c>
      <c r="AY719" s="28">
        <f>+T719-'[6]Приложение №1'!$T686</f>
        <v>0</v>
      </c>
    </row>
    <row r="720" spans="1:51" x14ac:dyDescent="0.25">
      <c r="A720" s="139">
        <f t="shared" si="235"/>
        <v>701</v>
      </c>
      <c r="B720" s="140">
        <f t="shared" si="236"/>
        <v>239</v>
      </c>
      <c r="C720" s="120" t="s">
        <v>46</v>
      </c>
      <c r="D720" s="120" t="s">
        <v>666</v>
      </c>
      <c r="E720" s="121">
        <v>1992</v>
      </c>
      <c r="F720" s="121">
        <v>2015</v>
      </c>
      <c r="G720" s="121" t="s">
        <v>43</v>
      </c>
      <c r="H720" s="121">
        <v>9</v>
      </c>
      <c r="I720" s="121">
        <v>1</v>
      </c>
      <c r="J720" s="107">
        <v>2197.1999999999998</v>
      </c>
      <c r="K720" s="107">
        <v>1934.5</v>
      </c>
      <c r="L720" s="107">
        <v>60.3</v>
      </c>
      <c r="M720" s="122">
        <v>70</v>
      </c>
      <c r="N720" s="123">
        <f t="shared" si="247"/>
        <v>3137273.6384000005</v>
      </c>
      <c r="O720" s="107"/>
      <c r="P720" s="108"/>
      <c r="Q720" s="108"/>
      <c r="R720" s="108">
        <f t="shared" si="250"/>
        <v>1415988.7621999998</v>
      </c>
      <c r="S720" s="108">
        <f>+'Приложение №2'!E720-'Приложение №1'!R720</f>
        <v>1721284.8762000003</v>
      </c>
      <c r="T720" s="108">
        <v>2.3283064365386963E-10</v>
      </c>
      <c r="U720" s="108">
        <f t="shared" si="232"/>
        <v>1621.7491023003363</v>
      </c>
      <c r="V720" s="108">
        <v>1407.2830200640001</v>
      </c>
      <c r="W720" s="135">
        <v>2024</v>
      </c>
      <c r="X720" s="28" t="e">
        <f>+#REF!-'[1]Приложение №1'!$P1623</f>
        <v>#REF!</v>
      </c>
      <c r="Z720" s="30">
        <f t="shared" si="243"/>
        <v>8772783.4000000022</v>
      </c>
      <c r="AA720" s="26">
        <v>4473428.0922458405</v>
      </c>
      <c r="AB720" s="26">
        <v>3070135.98253824</v>
      </c>
      <c r="AC720" s="26">
        <v>0</v>
      </c>
      <c r="AD720" s="26">
        <v>0</v>
      </c>
      <c r="AE720" s="26">
        <v>0</v>
      </c>
      <c r="AF720" s="26"/>
      <c r="AG720" s="26">
        <v>215207.80125600001</v>
      </c>
      <c r="AH720" s="26">
        <v>0</v>
      </c>
      <c r="AI720" s="26">
        <v>0</v>
      </c>
      <c r="AJ720" s="26">
        <v>0</v>
      </c>
      <c r="AK720" s="26">
        <v>0</v>
      </c>
      <c r="AL720" s="26">
        <v>0</v>
      </c>
      <c r="AM720" s="26">
        <v>756615.06319999998</v>
      </c>
      <c r="AN720" s="31">
        <v>87727.834000000003</v>
      </c>
      <c r="AO720" s="32">
        <v>169668.62675992004</v>
      </c>
      <c r="AP720" s="77">
        <f>+N720-'Приложение №2'!E720</f>
        <v>0</v>
      </c>
      <c r="AQ720" s="1">
        <v>1139900.6599999999</v>
      </c>
      <c r="AR720" s="1">
        <f t="shared" si="249"/>
        <v>276088.10219999996</v>
      </c>
      <c r="AS720" s="1">
        <f>+(K720*13.29+L720*22.52)*12*30</f>
        <v>9744285.959999999</v>
      </c>
      <c r="AT720" s="28">
        <f t="shared" si="233"/>
        <v>-8023001.0837999992</v>
      </c>
      <c r="AU720" s="28">
        <f>+P720-'[6]Приложение №1'!$P687</f>
        <v>0</v>
      </c>
      <c r="AV720" s="28">
        <f>+Q720-'[6]Приложение №1'!$Q687</f>
        <v>0</v>
      </c>
      <c r="AW720" s="28">
        <f>+R720-'[6]Приложение №1'!$R687</f>
        <v>0</v>
      </c>
      <c r="AX720" s="28">
        <f>+S720-'[6]Приложение №1'!$S687</f>
        <v>0</v>
      </c>
      <c r="AY720" s="28">
        <f>+T720-'[6]Приложение №1'!$T687</f>
        <v>0</v>
      </c>
    </row>
    <row r="721" spans="1:51" x14ac:dyDescent="0.25">
      <c r="A721" s="139">
        <f t="shared" si="235"/>
        <v>702</v>
      </c>
      <c r="B721" s="140">
        <f t="shared" si="236"/>
        <v>240</v>
      </c>
      <c r="C721" s="120" t="s">
        <v>46</v>
      </c>
      <c r="D721" s="120" t="s">
        <v>654</v>
      </c>
      <c r="E721" s="121">
        <v>1991</v>
      </c>
      <c r="F721" s="121">
        <v>2012</v>
      </c>
      <c r="G721" s="121" t="s">
        <v>43</v>
      </c>
      <c r="H721" s="121">
        <v>9</v>
      </c>
      <c r="I721" s="121">
        <v>1</v>
      </c>
      <c r="J721" s="107">
        <v>2282.58</v>
      </c>
      <c r="K721" s="107">
        <v>1973.3</v>
      </c>
      <c r="L721" s="107">
        <v>54.5</v>
      </c>
      <c r="M721" s="122">
        <v>71</v>
      </c>
      <c r="N721" s="123">
        <f t="shared" si="247"/>
        <v>3602238.3189560003</v>
      </c>
      <c r="O721" s="107"/>
      <c r="P721" s="108"/>
      <c r="Q721" s="108"/>
      <c r="R721" s="108">
        <f t="shared" si="250"/>
        <v>0</v>
      </c>
      <c r="S721" s="108">
        <f>+'Приложение №2'!E721-'Приложение №1'!R721</f>
        <v>3602238.3189560003</v>
      </c>
      <c r="T721" s="108">
        <v>0</v>
      </c>
      <c r="U721" s="108">
        <f t="shared" si="232"/>
        <v>1825.4894435493845</v>
      </c>
      <c r="V721" s="108">
        <v>1408.2830200640001</v>
      </c>
      <c r="W721" s="135">
        <v>2024</v>
      </c>
      <c r="X721" s="28" t="e">
        <f>+#REF!-'[1]Приложение №1'!$P1859</f>
        <v>#REF!</v>
      </c>
      <c r="Z721" s="30">
        <f t="shared" si="243"/>
        <v>11449528.669999998</v>
      </c>
      <c r="AA721" s="26">
        <v>4690983.077540759</v>
      </c>
      <c r="AB721" s="26">
        <v>3219445.0464132596</v>
      </c>
      <c r="AC721" s="26">
        <v>1959734.4140967599</v>
      </c>
      <c r="AD721" s="26">
        <v>0</v>
      </c>
      <c r="AE721" s="26">
        <v>0</v>
      </c>
      <c r="AF721" s="26"/>
      <c r="AG721" s="26">
        <v>225673.94234783997</v>
      </c>
      <c r="AH721" s="26">
        <v>0</v>
      </c>
      <c r="AI721" s="26">
        <v>0</v>
      </c>
      <c r="AJ721" s="26">
        <v>0</v>
      </c>
      <c r="AK721" s="26">
        <v>0</v>
      </c>
      <c r="AL721" s="26">
        <v>0</v>
      </c>
      <c r="AM721" s="26">
        <v>1018421.4066000001</v>
      </c>
      <c r="AN721" s="31">
        <v>114495.28669999998</v>
      </c>
      <c r="AO721" s="32">
        <v>220775.49630137999</v>
      </c>
      <c r="AP721" s="77">
        <f>+N721-'Приложение №2'!E721</f>
        <v>0</v>
      </c>
      <c r="AQ721" s="28">
        <f>908232.22-R432</f>
        <v>-280015.46940000006</v>
      </c>
      <c r="AR721" s="1">
        <f t="shared" si="249"/>
        <v>280015.4694</v>
      </c>
      <c r="AS721" s="1">
        <f>+(K721*13.29+L721*22.52)*12*30-S432</f>
        <v>8878545.0139860008</v>
      </c>
      <c r="AT721" s="28">
        <f t="shared" si="233"/>
        <v>-5276306.6950300001</v>
      </c>
      <c r="AU721" s="28">
        <f>+P721-'[6]Приложение №1'!$P688</f>
        <v>0</v>
      </c>
      <c r="AV721" s="28">
        <f>+Q721-'[6]Приложение №1'!$Q688</f>
        <v>0</v>
      </c>
      <c r="AW721" s="28">
        <f>+R721-'[6]Приложение №1'!$R688</f>
        <v>0</v>
      </c>
      <c r="AX721" s="28">
        <f>+S721-'[6]Приложение №1'!$S688</f>
        <v>0</v>
      </c>
      <c r="AY721" s="28">
        <f>+T721-'[6]Приложение №1'!$T688</f>
        <v>0</v>
      </c>
    </row>
    <row r="722" spans="1:51" s="34" customFormat="1" x14ac:dyDescent="0.25">
      <c r="A722" s="139">
        <f t="shared" si="235"/>
        <v>703</v>
      </c>
      <c r="B722" s="140">
        <f t="shared" si="236"/>
        <v>241</v>
      </c>
      <c r="C722" s="120" t="s">
        <v>46</v>
      </c>
      <c r="D722" s="120" t="s">
        <v>667</v>
      </c>
      <c r="E722" s="121" t="s">
        <v>131</v>
      </c>
      <c r="F722" s="121" t="s">
        <v>131</v>
      </c>
      <c r="G722" s="121" t="s">
        <v>43</v>
      </c>
      <c r="H722" s="121" t="s">
        <v>94</v>
      </c>
      <c r="I722" s="121" t="s">
        <v>98</v>
      </c>
      <c r="J722" s="107">
        <v>2491.9</v>
      </c>
      <c r="K722" s="107">
        <v>1556.5</v>
      </c>
      <c r="L722" s="107">
        <v>0</v>
      </c>
      <c r="M722" s="122">
        <v>87</v>
      </c>
      <c r="N722" s="123">
        <f t="shared" si="247"/>
        <v>3591360</v>
      </c>
      <c r="O722" s="107">
        <v>0</v>
      </c>
      <c r="P722" s="108"/>
      <c r="Q722" s="108">
        <v>0</v>
      </c>
      <c r="R722" s="108">
        <f t="shared" si="250"/>
        <v>770202.03700000001</v>
      </c>
      <c r="S722" s="108">
        <f>+'Приложение №2'!E722-'Приложение №1'!R722</f>
        <v>2821157.963</v>
      </c>
      <c r="T722" s="108">
        <v>0</v>
      </c>
      <c r="U722" s="108">
        <f t="shared" si="232"/>
        <v>2307.330549309348</v>
      </c>
      <c r="V722" s="108">
        <v>1409.2830200640001</v>
      </c>
      <c r="W722" s="135">
        <v>2024</v>
      </c>
      <c r="X722" s="34">
        <v>387429.28</v>
      </c>
      <c r="Y722" s="34">
        <f>+(K722*12.08+L722*20.47)*12</f>
        <v>225630.24</v>
      </c>
      <c r="AA722" s="35">
        <f>+N722-'[5]Приложение № 2'!E655</f>
        <v>-2358424.1576571837</v>
      </c>
      <c r="AD722" s="35">
        <f>+N722-'[5]Приложение № 2'!E655</f>
        <v>-2358424.1576571837</v>
      </c>
      <c r="AP722" s="77">
        <f>+N722-'Приложение №2'!E722</f>
        <v>0</v>
      </c>
      <c r="AQ722" s="34">
        <v>559206.01</v>
      </c>
      <c r="AR722" s="1">
        <f t="shared" si="249"/>
        <v>210996.027</v>
      </c>
      <c r="AS722" s="1">
        <f>+(K722*13.29+L722*22.52)*12*30</f>
        <v>7446918.5999999996</v>
      </c>
      <c r="AT722" s="28">
        <f t="shared" si="233"/>
        <v>-4625760.6370000001</v>
      </c>
      <c r="AU722" s="28">
        <f>+P722-'[6]Приложение №1'!$P689</f>
        <v>0</v>
      </c>
      <c r="AV722" s="28">
        <f>+Q722-'[6]Приложение №1'!$Q689</f>
        <v>0</v>
      </c>
      <c r="AW722" s="28">
        <f>+R722-'[6]Приложение №1'!$R689</f>
        <v>0</v>
      </c>
      <c r="AX722" s="28">
        <f>+S722-'[6]Приложение №1'!$S689</f>
        <v>0</v>
      </c>
      <c r="AY722" s="28">
        <f>+T722-'[6]Приложение №1'!$T689</f>
        <v>0</v>
      </c>
    </row>
    <row r="723" spans="1:51" x14ac:dyDescent="0.25">
      <c r="A723" s="139">
        <f t="shared" si="235"/>
        <v>704</v>
      </c>
      <c r="B723" s="140">
        <f t="shared" si="236"/>
        <v>242</v>
      </c>
      <c r="C723" s="120" t="s">
        <v>56</v>
      </c>
      <c r="D723" s="120" t="s">
        <v>668</v>
      </c>
      <c r="E723" s="121">
        <v>1990</v>
      </c>
      <c r="F723" s="121">
        <v>2014</v>
      </c>
      <c r="G723" s="121" t="s">
        <v>83</v>
      </c>
      <c r="H723" s="121">
        <v>5</v>
      </c>
      <c r="I723" s="121">
        <v>2</v>
      </c>
      <c r="J723" s="107">
        <v>2213.5</v>
      </c>
      <c r="K723" s="107">
        <v>2213.5</v>
      </c>
      <c r="L723" s="107">
        <v>0</v>
      </c>
      <c r="M723" s="122">
        <v>93</v>
      </c>
      <c r="N723" s="123">
        <f t="shared" si="247"/>
        <v>6448840.0972000007</v>
      </c>
      <c r="O723" s="107"/>
      <c r="P723" s="108"/>
      <c r="Q723" s="108"/>
      <c r="R723" s="108">
        <f t="shared" si="250"/>
        <v>994262.34</v>
      </c>
      <c r="S723" s="108">
        <f>+'Приложение №2'!E723-'Приложение №1'!R723</f>
        <v>5454577.7572000008</v>
      </c>
      <c r="T723" s="108">
        <v>0</v>
      </c>
      <c r="U723" s="108">
        <f t="shared" si="232"/>
        <v>2913.4131905127629</v>
      </c>
      <c r="V723" s="108">
        <v>1410.2830200640001</v>
      </c>
      <c r="W723" s="135">
        <v>2024</v>
      </c>
      <c r="X723" s="28" t="e">
        <f>+#REF!-'[1]Приложение №1'!$P1209</f>
        <v>#REF!</v>
      </c>
      <c r="Z723" s="30">
        <f>SUM(AA723:AO723)</f>
        <v>7131894.3900000006</v>
      </c>
      <c r="AA723" s="26">
        <v>3861288.8462639404</v>
      </c>
      <c r="AB723" s="26">
        <v>2292533.9415640198</v>
      </c>
      <c r="AC723" s="26">
        <v>0</v>
      </c>
      <c r="AD723" s="26">
        <v>0</v>
      </c>
      <c r="AE723" s="26">
        <v>0</v>
      </c>
      <c r="AF723" s="26"/>
      <c r="AG723" s="26">
        <v>157012.13129196005</v>
      </c>
      <c r="AH723" s="26">
        <v>0</v>
      </c>
      <c r="AI723" s="26">
        <v>0</v>
      </c>
      <c r="AJ723" s="26">
        <v>0</v>
      </c>
      <c r="AK723" s="26">
        <v>0</v>
      </c>
      <c r="AL723" s="26">
        <v>0</v>
      </c>
      <c r="AM723" s="26">
        <v>611735.34889999998</v>
      </c>
      <c r="AN723" s="31">
        <v>71318.943900000013</v>
      </c>
      <c r="AO723" s="32">
        <v>138005.17808008002</v>
      </c>
      <c r="AP723" s="77">
        <f>+N723-'Приложение №2'!E723</f>
        <v>0</v>
      </c>
      <c r="AQ723" s="33">
        <v>768485.34</v>
      </c>
      <c r="AR723" s="1">
        <f t="shared" ref="AR723:AR733" si="251">+(K723*10+L723*20)*12*0.85</f>
        <v>225777</v>
      </c>
      <c r="AS723" s="1">
        <f>+(K723*10+L723*20)*12*30</f>
        <v>7968600</v>
      </c>
      <c r="AT723" s="28">
        <f t="shared" si="233"/>
        <v>-2514022.2427999992</v>
      </c>
      <c r="AU723" s="28">
        <f>+P723-'[6]Приложение №1'!$P690</f>
        <v>0</v>
      </c>
      <c r="AV723" s="28">
        <f>+Q723-'[6]Приложение №1'!$Q690</f>
        <v>0</v>
      </c>
      <c r="AW723" s="28">
        <f>+R723-'[6]Приложение №1'!$R690</f>
        <v>0</v>
      </c>
      <c r="AX723" s="28">
        <f>+S723-'[6]Приложение №1'!$S690</f>
        <v>0</v>
      </c>
      <c r="AY723" s="28">
        <f>+T723-'[6]Приложение №1'!$T690</f>
        <v>0</v>
      </c>
    </row>
    <row r="724" spans="1:51" x14ac:dyDescent="0.25">
      <c r="A724" s="139">
        <f t="shared" si="235"/>
        <v>705</v>
      </c>
      <c r="B724" s="140">
        <f t="shared" si="236"/>
        <v>243</v>
      </c>
      <c r="C724" s="120" t="s">
        <v>57</v>
      </c>
      <c r="D724" s="120" t="s">
        <v>669</v>
      </c>
      <c r="E724" s="121">
        <v>1985</v>
      </c>
      <c r="F724" s="121">
        <v>1985</v>
      </c>
      <c r="G724" s="121" t="s">
        <v>43</v>
      </c>
      <c r="H724" s="121">
        <v>5</v>
      </c>
      <c r="I724" s="121">
        <v>1</v>
      </c>
      <c r="J724" s="107">
        <v>3093.6</v>
      </c>
      <c r="K724" s="107">
        <v>1867</v>
      </c>
      <c r="L724" s="107">
        <v>323</v>
      </c>
      <c r="M724" s="122">
        <v>98</v>
      </c>
      <c r="N724" s="123">
        <f t="shared" si="247"/>
        <v>7325775.6327</v>
      </c>
      <c r="O724" s="107"/>
      <c r="P724" s="108">
        <v>1931757.0175000001</v>
      </c>
      <c r="Q724" s="108"/>
      <c r="R724" s="108">
        <f>+AR724</f>
        <v>256326</v>
      </c>
      <c r="S724" s="108">
        <f>+AS724</f>
        <v>4551091.2824605983</v>
      </c>
      <c r="T724" s="108">
        <f>+'Приложение №2'!E724-'Приложение №1'!P724-'Приложение №1'!Q724-'Приложение №1'!R724-'Приложение №1'!S724</f>
        <v>586601.33273940161</v>
      </c>
      <c r="U724" s="108">
        <f t="shared" si="232"/>
        <v>3923.8219778789503</v>
      </c>
      <c r="V724" s="108">
        <v>1411.2830200640001</v>
      </c>
      <c r="W724" s="135">
        <v>2024</v>
      </c>
      <c r="X724" s="28" t="e">
        <f>+#REF!-'[1]Приложение №1'!$P1554</f>
        <v>#REF!</v>
      </c>
      <c r="Z724" s="30">
        <f>SUM(AA724:AO724)</f>
        <v>25777981.720000003</v>
      </c>
      <c r="AA724" s="26">
        <v>6939898.4786422197</v>
      </c>
      <c r="AB724" s="26">
        <v>2544879.30231024</v>
      </c>
      <c r="AC724" s="26">
        <v>0</v>
      </c>
      <c r="AD724" s="26">
        <v>0</v>
      </c>
      <c r="AE724" s="26">
        <v>0</v>
      </c>
      <c r="AF724" s="26"/>
      <c r="AG724" s="26">
        <v>229105.55551800001</v>
      </c>
      <c r="AH724" s="26">
        <v>0</v>
      </c>
      <c r="AI724" s="26">
        <v>13056187.249110602</v>
      </c>
      <c r="AJ724" s="26">
        <v>0</v>
      </c>
      <c r="AK724" s="26">
        <v>0</v>
      </c>
      <c r="AL724" s="26">
        <v>0</v>
      </c>
      <c r="AM724" s="26">
        <v>2252195.9907</v>
      </c>
      <c r="AN724" s="31">
        <v>257779.81719999999</v>
      </c>
      <c r="AO724" s="32">
        <v>497935.32651894004</v>
      </c>
      <c r="AP724" s="77">
        <f>+N724-'Приложение №2'!E724</f>
        <v>0</v>
      </c>
      <c r="AQ724" s="28">
        <f>1012034.26-R439</f>
        <v>-256326</v>
      </c>
      <c r="AR724" s="1">
        <f t="shared" si="251"/>
        <v>256326</v>
      </c>
      <c r="AS724" s="1">
        <f>+(K724*10+L724*20)*12*30-S439</f>
        <v>4551091.2824605983</v>
      </c>
      <c r="AT724" s="28">
        <f t="shared" si="233"/>
        <v>0</v>
      </c>
      <c r="AU724" s="28">
        <f>+P724-'[6]Приложение №1'!$P691</f>
        <v>0</v>
      </c>
      <c r="AV724" s="28">
        <f>+Q724-'[6]Приложение №1'!$Q691</f>
        <v>0</v>
      </c>
      <c r="AW724" s="28">
        <f>+R724-'[6]Приложение №1'!$R691</f>
        <v>0</v>
      </c>
      <c r="AX724" s="28">
        <f>+S724-'[6]Приложение №1'!$S691</f>
        <v>0</v>
      </c>
      <c r="AY724" s="28">
        <f>+T724-'[6]Приложение №1'!$T691</f>
        <v>0</v>
      </c>
    </row>
    <row r="725" spans="1:51" x14ac:dyDescent="0.25">
      <c r="A725" s="139">
        <f t="shared" si="235"/>
        <v>706</v>
      </c>
      <c r="B725" s="140">
        <f t="shared" si="236"/>
        <v>244</v>
      </c>
      <c r="C725" s="120" t="s">
        <v>57</v>
      </c>
      <c r="D725" s="120" t="s">
        <v>670</v>
      </c>
      <c r="E725" s="121">
        <v>1985</v>
      </c>
      <c r="F725" s="121">
        <v>1985</v>
      </c>
      <c r="G725" s="121" t="s">
        <v>43</v>
      </c>
      <c r="H725" s="121">
        <v>5</v>
      </c>
      <c r="I725" s="121">
        <v>1</v>
      </c>
      <c r="J725" s="107">
        <v>3037</v>
      </c>
      <c r="K725" s="107">
        <v>2290.6999999999998</v>
      </c>
      <c r="L725" s="107">
        <v>275.7</v>
      </c>
      <c r="M725" s="122">
        <v>125</v>
      </c>
      <c r="N725" s="123">
        <f t="shared" si="247"/>
        <v>7269616.2805000003</v>
      </c>
      <c r="O725" s="107"/>
      <c r="P725" s="108">
        <v>1004622.6900000002</v>
      </c>
      <c r="Q725" s="108"/>
      <c r="R725" s="108">
        <f t="shared" ref="R725:R733" si="252">+AQ725+AR725</f>
        <v>590869.3600000001</v>
      </c>
      <c r="S725" s="108">
        <f t="shared" ref="S725:S731" si="253">+AS725</f>
        <v>4537489.25</v>
      </c>
      <c r="T725" s="108">
        <f>+'Приложение №2'!E725-'Приложение №1'!P725-'Приложение №1'!R725-'Приложение №1'!S725</f>
        <v>1136634.9804999996</v>
      </c>
      <c r="U725" s="108">
        <f t="shared" si="232"/>
        <v>3173.5348498275639</v>
      </c>
      <c r="V725" s="108">
        <v>1412.2830200640001</v>
      </c>
      <c r="W725" s="135">
        <v>2024</v>
      </c>
      <c r="X725" s="28" t="e">
        <f>+#REF!-'[1]Приложение №1'!$P1228</f>
        <v>#REF!</v>
      </c>
      <c r="Z725" s="30">
        <f>SUM(AA725:AO725)</f>
        <v>25580367.880000003</v>
      </c>
      <c r="AA725" s="26">
        <v>6886697.2620973801</v>
      </c>
      <c r="AB725" s="26">
        <v>2525370.28109184</v>
      </c>
      <c r="AC725" s="26">
        <v>0</v>
      </c>
      <c r="AD725" s="26">
        <v>0</v>
      </c>
      <c r="AE725" s="26">
        <v>0</v>
      </c>
      <c r="AF725" s="26"/>
      <c r="AG725" s="26">
        <v>227349.22999992</v>
      </c>
      <c r="AH725" s="26">
        <v>0</v>
      </c>
      <c r="AI725" s="26">
        <v>12956098.599171</v>
      </c>
      <c r="AJ725" s="26">
        <v>0</v>
      </c>
      <c r="AK725" s="26">
        <v>0</v>
      </c>
      <c r="AL725" s="26">
        <v>0</v>
      </c>
      <c r="AM725" s="26">
        <v>2234930.6713</v>
      </c>
      <c r="AN725" s="31">
        <v>255803.67880000002</v>
      </c>
      <c r="AO725" s="32">
        <v>494118.15753986</v>
      </c>
      <c r="AP725" s="77">
        <f>+N725-'Приложение №2'!E725</f>
        <v>0</v>
      </c>
      <c r="AQ725" s="1">
        <f>1087767.84-786792.68</f>
        <v>300975.16000000003</v>
      </c>
      <c r="AR725" s="1">
        <f t="shared" si="251"/>
        <v>289894.2</v>
      </c>
      <c r="AS725" s="1">
        <f>+(K725*10+L725*20)*12*30-5694070.75</f>
        <v>4537489.25</v>
      </c>
      <c r="AT725" s="28">
        <f t="shared" si="233"/>
        <v>0</v>
      </c>
      <c r="AU725" s="28">
        <f>+P725-'[6]Приложение №1'!$P692</f>
        <v>0</v>
      </c>
      <c r="AV725" s="28">
        <f>+Q725-'[6]Приложение №1'!$Q692</f>
        <v>0</v>
      </c>
      <c r="AW725" s="28">
        <f>+R725-'[6]Приложение №1'!$R692</f>
        <v>0</v>
      </c>
      <c r="AX725" s="28">
        <f>+S725-'[6]Приложение №1'!$S692</f>
        <v>0</v>
      </c>
      <c r="AY725" s="28">
        <f>+T725-'[6]Приложение №1'!$T692</f>
        <v>0</v>
      </c>
    </row>
    <row r="726" spans="1:51" s="34" customFormat="1" x14ac:dyDescent="0.25">
      <c r="A726" s="139">
        <f t="shared" si="235"/>
        <v>707</v>
      </c>
      <c r="B726" s="140">
        <f t="shared" si="236"/>
        <v>245</v>
      </c>
      <c r="C726" s="120" t="s">
        <v>132</v>
      </c>
      <c r="D726" s="120" t="s">
        <v>700</v>
      </c>
      <c r="E726" s="121" t="s">
        <v>117</v>
      </c>
      <c r="F726" s="121" t="s">
        <v>117</v>
      </c>
      <c r="G726" s="121" t="s">
        <v>43</v>
      </c>
      <c r="H726" s="121" t="s">
        <v>101</v>
      </c>
      <c r="I726" s="121" t="s">
        <v>101</v>
      </c>
      <c r="J726" s="107">
        <v>2120.65</v>
      </c>
      <c r="K726" s="107">
        <v>1602.1</v>
      </c>
      <c r="L726" s="107">
        <v>58.3</v>
      </c>
      <c r="M726" s="122">
        <v>76</v>
      </c>
      <c r="N726" s="123">
        <f t="shared" si="247"/>
        <v>13493543.713220477</v>
      </c>
      <c r="O726" s="107">
        <v>0</v>
      </c>
      <c r="P726" s="108">
        <v>1061810.4948814395</v>
      </c>
      <c r="Q726" s="108">
        <v>0</v>
      </c>
      <c r="R726" s="108">
        <f t="shared" si="252"/>
        <v>735428.12</v>
      </c>
      <c r="S726" s="108">
        <f t="shared" si="253"/>
        <v>6187320</v>
      </c>
      <c r="T726" s="108">
        <f>+'Приложение №2'!E726-'Приложение №1'!P726-'Приложение №1'!R726-'Приложение №1'!S726</f>
        <v>5508985.098339038</v>
      </c>
      <c r="U726" s="108">
        <f t="shared" si="232"/>
        <v>8422.4104071034762</v>
      </c>
      <c r="V726" s="108">
        <v>1413.2830200640001</v>
      </c>
      <c r="W726" s="135">
        <v>2024</v>
      </c>
      <c r="X726" s="34">
        <v>421077.31</v>
      </c>
      <c r="Y726" s="34">
        <f t="shared" ref="Y726:Y733" si="254">+(K726*9.1+L726*18.19)*12</f>
        <v>187675.04399999999</v>
      </c>
      <c r="AA726" s="35">
        <f>+N726-'[5]Приложение № 2'!E659</f>
        <v>-18632630.780458245</v>
      </c>
      <c r="AD726" s="35">
        <f>+N726-'[5]Приложение № 2'!E659</f>
        <v>-18632630.780458245</v>
      </c>
      <c r="AP726" s="77">
        <f>+N726-'Приложение №2'!E726</f>
        <v>0</v>
      </c>
      <c r="AQ726" s="34">
        <v>560120.72</v>
      </c>
      <c r="AR726" s="1">
        <f t="shared" si="251"/>
        <v>175307.4</v>
      </c>
      <c r="AS726" s="1">
        <f t="shared" ref="AS726:AS731" si="255">+(K726*10+L726*20)*12*30</f>
        <v>6187320</v>
      </c>
      <c r="AT726" s="28">
        <f t="shared" si="233"/>
        <v>0</v>
      </c>
      <c r="AU726" s="28">
        <f>+P726-'[6]Приложение №1'!$P693</f>
        <v>0</v>
      </c>
      <c r="AV726" s="28">
        <f>+Q726-'[6]Приложение №1'!$Q693</f>
        <v>0</v>
      </c>
      <c r="AW726" s="28">
        <f>+R726-'[6]Приложение №1'!$R693</f>
        <v>0</v>
      </c>
      <c r="AX726" s="28">
        <f>+S726-'[6]Приложение №1'!$S693</f>
        <v>0</v>
      </c>
      <c r="AY726" s="28">
        <f>+T726-'[6]Приложение №1'!$T693</f>
        <v>0</v>
      </c>
    </row>
    <row r="727" spans="1:51" s="34" customFormat="1" x14ac:dyDescent="0.25">
      <c r="A727" s="139">
        <f t="shared" si="235"/>
        <v>708</v>
      </c>
      <c r="B727" s="140">
        <f t="shared" si="236"/>
        <v>246</v>
      </c>
      <c r="C727" s="120" t="s">
        <v>132</v>
      </c>
      <c r="D727" s="120" t="s">
        <v>701</v>
      </c>
      <c r="E727" s="121" t="s">
        <v>117</v>
      </c>
      <c r="F727" s="121" t="s">
        <v>117</v>
      </c>
      <c r="G727" s="121" t="s">
        <v>43</v>
      </c>
      <c r="H727" s="121" t="s">
        <v>101</v>
      </c>
      <c r="I727" s="121" t="s">
        <v>101</v>
      </c>
      <c r="J727" s="107">
        <v>2747.6</v>
      </c>
      <c r="K727" s="107">
        <v>2270.63</v>
      </c>
      <c r="L727" s="107">
        <v>217.6</v>
      </c>
      <c r="M727" s="122">
        <v>95</v>
      </c>
      <c r="N727" s="123">
        <f t="shared" si="247"/>
        <v>17483382.935169917</v>
      </c>
      <c r="O727" s="107">
        <v>0</v>
      </c>
      <c r="P727" s="108">
        <v>1455759.210889759</v>
      </c>
      <c r="Q727" s="108">
        <v>0</v>
      </c>
      <c r="R727" s="108">
        <f t="shared" si="252"/>
        <v>961935.16</v>
      </c>
      <c r="S727" s="108">
        <f t="shared" si="253"/>
        <v>9740988.0000000019</v>
      </c>
      <c r="T727" s="108">
        <f>+'Приложение №2'!E727-'Приложение №1'!P727-'Приложение №1'!R727-'Приложение №1'!S727</f>
        <v>5324700.564280156</v>
      </c>
      <c r="U727" s="108">
        <f t="shared" si="232"/>
        <v>7699.7938612499247</v>
      </c>
      <c r="V727" s="108">
        <v>1414.2830200640001</v>
      </c>
      <c r="W727" s="135">
        <v>2024</v>
      </c>
      <c r="X727" s="34">
        <v>551877.51</v>
      </c>
      <c r="Y727" s="34">
        <f t="shared" si="254"/>
        <v>295450.52399999998</v>
      </c>
      <c r="AA727" s="35">
        <f>+N727-'[5]Приложение № 2'!E660</f>
        <v>-10000928.999034911</v>
      </c>
      <c r="AD727" s="35">
        <f>+N727-'[5]Приложение № 2'!E660</f>
        <v>-10000928.999034911</v>
      </c>
      <c r="AP727" s="77">
        <f>+N727-'Приложение №2'!E727</f>
        <v>0</v>
      </c>
      <c r="AQ727" s="34">
        <v>685940.5</v>
      </c>
      <c r="AR727" s="1">
        <f t="shared" si="251"/>
        <v>275994.66000000003</v>
      </c>
      <c r="AS727" s="1">
        <f t="shared" si="255"/>
        <v>9740988.0000000019</v>
      </c>
      <c r="AT727" s="28">
        <f t="shared" si="233"/>
        <v>0</v>
      </c>
      <c r="AU727" s="28">
        <f>+P727-'[6]Приложение №1'!$P694</f>
        <v>0</v>
      </c>
      <c r="AV727" s="28">
        <f>+Q727-'[6]Приложение №1'!$Q694</f>
        <v>0</v>
      </c>
      <c r="AW727" s="28">
        <f>+R727-'[6]Приложение №1'!$R694</f>
        <v>0</v>
      </c>
      <c r="AX727" s="28">
        <f>+S727-'[6]Приложение №1'!$S694</f>
        <v>0</v>
      </c>
      <c r="AY727" s="28">
        <f>+T727-'[6]Приложение №1'!$T694</f>
        <v>0</v>
      </c>
    </row>
    <row r="728" spans="1:51" s="34" customFormat="1" x14ac:dyDescent="0.25">
      <c r="A728" s="139">
        <f t="shared" si="235"/>
        <v>709</v>
      </c>
      <c r="B728" s="140">
        <f t="shared" si="236"/>
        <v>247</v>
      </c>
      <c r="C728" s="120" t="s">
        <v>132</v>
      </c>
      <c r="D728" s="120" t="s">
        <v>702</v>
      </c>
      <c r="E728" s="121" t="s">
        <v>109</v>
      </c>
      <c r="F728" s="121" t="s">
        <v>109</v>
      </c>
      <c r="G728" s="121" t="s">
        <v>43</v>
      </c>
      <c r="H728" s="121" t="s">
        <v>101</v>
      </c>
      <c r="I728" s="121" t="s">
        <v>101</v>
      </c>
      <c r="J728" s="107">
        <v>2879</v>
      </c>
      <c r="K728" s="107">
        <v>2169.3000000000002</v>
      </c>
      <c r="L728" s="107">
        <v>217.3</v>
      </c>
      <c r="M728" s="122">
        <v>116</v>
      </c>
      <c r="N728" s="123">
        <f t="shared" si="247"/>
        <v>25951484.897758067</v>
      </c>
      <c r="O728" s="107">
        <v>0</v>
      </c>
      <c r="P728" s="108">
        <v>3458722.2639504001</v>
      </c>
      <c r="Q728" s="108">
        <v>0</v>
      </c>
      <c r="R728" s="108">
        <f t="shared" si="252"/>
        <v>922746.27</v>
      </c>
      <c r="S728" s="108">
        <f t="shared" si="253"/>
        <v>9374040</v>
      </c>
      <c r="T728" s="108">
        <f>+'Приложение №2'!E728-'Приложение №1'!P728-'Приложение №1'!R728-'Приложение №1'!S728</f>
        <v>12195976.363807667</v>
      </c>
      <c r="U728" s="108">
        <f t="shared" ref="U728:U753" si="256">N728/K728</f>
        <v>11963.06868471768</v>
      </c>
      <c r="V728" s="108">
        <v>1415.2830200640001</v>
      </c>
      <c r="W728" s="135">
        <v>2024</v>
      </c>
      <c r="X728" s="34">
        <v>487955.39</v>
      </c>
      <c r="Y728" s="34">
        <f t="shared" si="254"/>
        <v>284319.804</v>
      </c>
      <c r="AA728" s="35">
        <f>+N728-'[5]Приложение № 2'!E661</f>
        <v>16498697.818999665</v>
      </c>
      <c r="AD728" s="35">
        <f>+N728-'[5]Приложение № 2'!E661</f>
        <v>16498697.818999665</v>
      </c>
      <c r="AP728" s="77">
        <f>+N728-'Приложение №2'!E728</f>
        <v>0</v>
      </c>
      <c r="AQ728" s="34">
        <v>657148.47</v>
      </c>
      <c r="AR728" s="1">
        <f t="shared" si="251"/>
        <v>265597.8</v>
      </c>
      <c r="AS728" s="1">
        <f t="shared" si="255"/>
        <v>9374040</v>
      </c>
      <c r="AT728" s="28">
        <f t="shared" si="233"/>
        <v>0</v>
      </c>
      <c r="AU728" s="28">
        <f>+P728-'[6]Приложение №1'!$P695</f>
        <v>0</v>
      </c>
      <c r="AV728" s="28">
        <f>+Q728-'[6]Приложение №1'!$Q695</f>
        <v>0</v>
      </c>
      <c r="AW728" s="28">
        <f>+R728-'[6]Приложение №1'!$R695</f>
        <v>0</v>
      </c>
      <c r="AX728" s="28">
        <f>+S728-'[6]Приложение №1'!$S695</f>
        <v>0</v>
      </c>
      <c r="AY728" s="28">
        <f>+T728-'[6]Приложение №1'!$T695</f>
        <v>0</v>
      </c>
    </row>
    <row r="729" spans="1:51" s="34" customFormat="1" x14ac:dyDescent="0.25">
      <c r="A729" s="139">
        <f t="shared" si="235"/>
        <v>710</v>
      </c>
      <c r="B729" s="140">
        <f t="shared" si="236"/>
        <v>248</v>
      </c>
      <c r="C729" s="120" t="s">
        <v>132</v>
      </c>
      <c r="D729" s="120" t="s">
        <v>703</v>
      </c>
      <c r="E729" s="121" t="s">
        <v>115</v>
      </c>
      <c r="F729" s="121" t="s">
        <v>115</v>
      </c>
      <c r="G729" s="121" t="s">
        <v>43</v>
      </c>
      <c r="H729" s="121" t="s">
        <v>104</v>
      </c>
      <c r="I729" s="121" t="s">
        <v>101</v>
      </c>
      <c r="J729" s="107">
        <v>3412.5</v>
      </c>
      <c r="K729" s="107">
        <v>2249.4</v>
      </c>
      <c r="L729" s="107">
        <v>936.2</v>
      </c>
      <c r="M729" s="122">
        <v>105</v>
      </c>
      <c r="N729" s="123">
        <f t="shared" si="247"/>
        <v>33770714.155886948</v>
      </c>
      <c r="O729" s="107">
        <v>0</v>
      </c>
      <c r="P729" s="108">
        <v>4241300.1245600004</v>
      </c>
      <c r="Q729" s="108">
        <v>0</v>
      </c>
      <c r="R729" s="108">
        <f t="shared" si="252"/>
        <v>1131941.27</v>
      </c>
      <c r="S729" s="108">
        <f t="shared" si="253"/>
        <v>14838480</v>
      </c>
      <c r="T729" s="108">
        <f>+'Приложение №2'!E729-'Приложение №1'!P729-'Приложение №1'!R729-'Приложение №1'!S729</f>
        <v>13558992.761326943</v>
      </c>
      <c r="U729" s="108">
        <f t="shared" si="256"/>
        <v>15013.209814122409</v>
      </c>
      <c r="V729" s="108">
        <v>1416.2830200640001</v>
      </c>
      <c r="W729" s="135">
        <v>2024</v>
      </c>
      <c r="X729" s="34">
        <v>550816.85</v>
      </c>
      <c r="Y729" s="34">
        <f t="shared" si="254"/>
        <v>449988.21600000001</v>
      </c>
      <c r="AA729" s="35">
        <f>+N729-'[5]Приложение № 2'!E662</f>
        <v>-6994096.1197674423</v>
      </c>
      <c r="AD729" s="35">
        <f>+N729-'[5]Приложение № 2'!E662</f>
        <v>-6994096.1197674423</v>
      </c>
      <c r="AP729" s="77">
        <f>+N729-'Приложение №2'!E729</f>
        <v>0</v>
      </c>
      <c r="AQ729" s="34">
        <v>711517.67</v>
      </c>
      <c r="AR729" s="1">
        <f t="shared" si="251"/>
        <v>420423.6</v>
      </c>
      <c r="AS729" s="1">
        <f t="shared" si="255"/>
        <v>14838480</v>
      </c>
      <c r="AT729" s="28">
        <f t="shared" si="233"/>
        <v>0</v>
      </c>
      <c r="AU729" s="28">
        <f>+P729-'[6]Приложение №1'!$P696</f>
        <v>0</v>
      </c>
      <c r="AV729" s="28">
        <f>+Q729-'[6]Приложение №1'!$Q696</f>
        <v>0</v>
      </c>
      <c r="AW729" s="28">
        <f>+R729-'[6]Приложение №1'!$R696</f>
        <v>0</v>
      </c>
      <c r="AX729" s="28">
        <f>+S729-'[6]Приложение №1'!$S696</f>
        <v>0</v>
      </c>
      <c r="AY729" s="28">
        <f>+T729-'[6]Приложение №1'!$T696</f>
        <v>0</v>
      </c>
    </row>
    <row r="730" spans="1:51" s="34" customFormat="1" x14ac:dyDescent="0.25">
      <c r="A730" s="139">
        <f t="shared" si="235"/>
        <v>711</v>
      </c>
      <c r="B730" s="140">
        <f t="shared" si="236"/>
        <v>249</v>
      </c>
      <c r="C730" s="120" t="s">
        <v>132</v>
      </c>
      <c r="D730" s="120" t="s">
        <v>704</v>
      </c>
      <c r="E730" s="121" t="s">
        <v>116</v>
      </c>
      <c r="F730" s="121" t="s">
        <v>116</v>
      </c>
      <c r="G730" s="121" t="s">
        <v>43</v>
      </c>
      <c r="H730" s="121" t="s">
        <v>104</v>
      </c>
      <c r="I730" s="121" t="s">
        <v>95</v>
      </c>
      <c r="J730" s="107">
        <v>1792.2</v>
      </c>
      <c r="K730" s="107">
        <v>1275</v>
      </c>
      <c r="L730" s="107">
        <v>170.8</v>
      </c>
      <c r="M730" s="122">
        <v>51</v>
      </c>
      <c r="N730" s="123">
        <f t="shared" si="247"/>
        <v>11745078.045090696</v>
      </c>
      <c r="O730" s="107">
        <v>0</v>
      </c>
      <c r="P730" s="108">
        <v>1006870.2874999999</v>
      </c>
      <c r="Q730" s="108">
        <v>0</v>
      </c>
      <c r="R730" s="108">
        <f t="shared" si="252"/>
        <v>616679.91</v>
      </c>
      <c r="S730" s="108">
        <f t="shared" si="253"/>
        <v>5819760</v>
      </c>
      <c r="T730" s="108">
        <f>+'Приложение №2'!E730-'Приложение №1'!P730-'Приложение №1'!R730-'Приложение №1'!S730</f>
        <v>4301767.8475906961</v>
      </c>
      <c r="U730" s="108">
        <f t="shared" si="256"/>
        <v>9211.8259177181935</v>
      </c>
      <c r="V730" s="108">
        <v>1417.2830200640001</v>
      </c>
      <c r="W730" s="135">
        <v>2024</v>
      </c>
      <c r="X730" s="34">
        <v>339010.26</v>
      </c>
      <c r="Y730" s="34">
        <f t="shared" si="254"/>
        <v>176512.22400000002</v>
      </c>
      <c r="AA730" s="35">
        <f>+N730-'[5]Приложение № 2'!E663</f>
        <v>8567057.4536952991</v>
      </c>
      <c r="AD730" s="35">
        <f>+N730-'[5]Приложение № 2'!E663</f>
        <v>8567057.4536952991</v>
      </c>
      <c r="AP730" s="77">
        <f>+N730-'Приложение №2'!E730</f>
        <v>0</v>
      </c>
      <c r="AQ730" s="34">
        <v>451786.71</v>
      </c>
      <c r="AR730" s="1">
        <f t="shared" si="251"/>
        <v>164893.19999999998</v>
      </c>
      <c r="AS730" s="1">
        <f t="shared" si="255"/>
        <v>5819760</v>
      </c>
      <c r="AT730" s="28">
        <f t="shared" ref="AT730:AT753" si="257">+S730-AS730</f>
        <v>0</v>
      </c>
      <c r="AU730" s="28">
        <f>+P730-'[6]Приложение №1'!$P697</f>
        <v>0</v>
      </c>
      <c r="AV730" s="28">
        <f>+Q730-'[6]Приложение №1'!$Q697</f>
        <v>0</v>
      </c>
      <c r="AW730" s="28">
        <f>+R730-'[6]Приложение №1'!$R697</f>
        <v>0</v>
      </c>
      <c r="AX730" s="28">
        <f>+S730-'[6]Приложение №1'!$S697</f>
        <v>0</v>
      </c>
      <c r="AY730" s="28">
        <f>+T730-'[6]Приложение №1'!$T697</f>
        <v>0</v>
      </c>
    </row>
    <row r="731" spans="1:51" s="34" customFormat="1" x14ac:dyDescent="0.25">
      <c r="A731" s="139">
        <f t="shared" si="235"/>
        <v>712</v>
      </c>
      <c r="B731" s="140">
        <f t="shared" si="236"/>
        <v>250</v>
      </c>
      <c r="C731" s="120" t="s">
        <v>132</v>
      </c>
      <c r="D731" s="120" t="s">
        <v>705</v>
      </c>
      <c r="E731" s="121" t="s">
        <v>129</v>
      </c>
      <c r="F731" s="121" t="s">
        <v>129</v>
      </c>
      <c r="G731" s="121" t="s">
        <v>43</v>
      </c>
      <c r="H731" s="121">
        <v>5</v>
      </c>
      <c r="I731" s="121" t="s">
        <v>98</v>
      </c>
      <c r="J731" s="107">
        <v>2036.3</v>
      </c>
      <c r="K731" s="107">
        <v>1337.75</v>
      </c>
      <c r="L731" s="107">
        <v>476.4</v>
      </c>
      <c r="M731" s="122">
        <v>93</v>
      </c>
      <c r="N731" s="123">
        <f t="shared" si="247"/>
        <v>33271124.889648609</v>
      </c>
      <c r="O731" s="107">
        <v>0</v>
      </c>
      <c r="P731" s="108">
        <v>4716196.3342839032</v>
      </c>
      <c r="Q731" s="108">
        <v>0</v>
      </c>
      <c r="R731" s="108">
        <f t="shared" si="252"/>
        <v>627921.55000000005</v>
      </c>
      <c r="S731" s="108">
        <f t="shared" si="253"/>
        <v>8245980</v>
      </c>
      <c r="T731" s="108">
        <f>+'Приложение №2'!E731-'Приложение №1'!P731-'Приложение №1'!R731-'Приложение №1'!S731</f>
        <v>19681027.005364705</v>
      </c>
      <c r="U731" s="108">
        <f t="shared" si="256"/>
        <v>24870.958616818247</v>
      </c>
      <c r="V731" s="108">
        <v>1418.2830200640001</v>
      </c>
      <c r="W731" s="135">
        <v>2024</v>
      </c>
      <c r="X731" s="34">
        <v>322443.77</v>
      </c>
      <c r="Y731" s="34">
        <f t="shared" si="254"/>
        <v>250070.89200000002</v>
      </c>
      <c r="AA731" s="35">
        <f>+N731-'[5]Приложение № 2'!E664</f>
        <v>26548833.235195752</v>
      </c>
      <c r="AD731" s="35">
        <f>+N731-'[5]Приложение № 2'!E664</f>
        <v>26548833.235195752</v>
      </c>
      <c r="AP731" s="77">
        <f>+N731-'Приложение №2'!E731</f>
        <v>0</v>
      </c>
      <c r="AQ731" s="34">
        <v>394285.45</v>
      </c>
      <c r="AR731" s="1">
        <f t="shared" si="251"/>
        <v>233636.1</v>
      </c>
      <c r="AS731" s="1">
        <f t="shared" si="255"/>
        <v>8245980</v>
      </c>
      <c r="AT731" s="28">
        <f t="shared" si="257"/>
        <v>0</v>
      </c>
      <c r="AU731" s="28">
        <f>+P731-'[6]Приложение №1'!$P698</f>
        <v>0</v>
      </c>
      <c r="AV731" s="28">
        <f>+Q731-'[6]Приложение №1'!$Q698</f>
        <v>0</v>
      </c>
      <c r="AW731" s="28">
        <f>+R731-'[6]Приложение №1'!$R698</f>
        <v>0</v>
      </c>
      <c r="AX731" s="28">
        <f>+S731-'[6]Приложение №1'!$S698</f>
        <v>0</v>
      </c>
      <c r="AY731" s="28">
        <f>+T731-'[6]Приложение №1'!$T698</f>
        <v>0</v>
      </c>
    </row>
    <row r="732" spans="1:51" s="34" customFormat="1" x14ac:dyDescent="0.25">
      <c r="A732" s="139">
        <f t="shared" si="235"/>
        <v>713</v>
      </c>
      <c r="B732" s="140">
        <f t="shared" si="236"/>
        <v>251</v>
      </c>
      <c r="C732" s="120" t="s">
        <v>68</v>
      </c>
      <c r="D732" s="120" t="s">
        <v>698</v>
      </c>
      <c r="E732" s="121" t="s">
        <v>117</v>
      </c>
      <c r="F732" s="121" t="s">
        <v>117</v>
      </c>
      <c r="G732" s="121" t="s">
        <v>43</v>
      </c>
      <c r="H732" s="121" t="s">
        <v>104</v>
      </c>
      <c r="I732" s="121" t="s">
        <v>101</v>
      </c>
      <c r="J732" s="107">
        <v>3929.7</v>
      </c>
      <c r="K732" s="107">
        <v>2523.6</v>
      </c>
      <c r="L732" s="107">
        <v>522.65</v>
      </c>
      <c r="M732" s="122">
        <v>69</v>
      </c>
      <c r="N732" s="123">
        <f t="shared" si="247"/>
        <v>8451712.6778820977</v>
      </c>
      <c r="O732" s="107">
        <v>0</v>
      </c>
      <c r="P732" s="108"/>
      <c r="Q732" s="108">
        <v>0</v>
      </c>
      <c r="R732" s="108">
        <f t="shared" si="252"/>
        <v>1075491.9000000001</v>
      </c>
      <c r="S732" s="108">
        <f>+'Приложение №2'!E732-'Приложение №1'!R732</f>
        <v>7376220.7778820973</v>
      </c>
      <c r="T732" s="108">
        <v>2.3283064365386963E-10</v>
      </c>
      <c r="U732" s="108">
        <f t="shared" si="256"/>
        <v>3349.0698517522974</v>
      </c>
      <c r="V732" s="108">
        <v>1419.2830200640001</v>
      </c>
      <c r="W732" s="135">
        <v>2024</v>
      </c>
      <c r="X732" s="34">
        <v>1250711.5</v>
      </c>
      <c r="Y732" s="34">
        <f t="shared" si="254"/>
        <v>389661.16200000001</v>
      </c>
      <c r="AA732" s="35">
        <f>+N732-'[5]Приложение № 2'!E665</f>
        <v>1804909.5796820838</v>
      </c>
      <c r="AD732" s="35">
        <f>+N732-'[5]Приложение № 2'!E665</f>
        <v>1804909.5796820838</v>
      </c>
      <c r="AP732" s="77">
        <f>+N732-'Приложение №2'!E732</f>
        <v>0</v>
      </c>
      <c r="AQ732" s="34">
        <f>1709948.33-998484.23</f>
        <v>711464.10000000009</v>
      </c>
      <c r="AR732" s="1">
        <f t="shared" si="251"/>
        <v>364027.8</v>
      </c>
      <c r="AS732" s="1">
        <f>+(K732*10+L732*20)*12*30-2437490.96</f>
        <v>10410549.039999999</v>
      </c>
      <c r="AT732" s="28">
        <f t="shared" si="257"/>
        <v>-3034328.2621179018</v>
      </c>
      <c r="AU732" s="28">
        <f>+P732-'[6]Приложение №1'!$P699</f>
        <v>0</v>
      </c>
      <c r="AV732" s="28">
        <f>+Q732-'[6]Приложение №1'!$Q699</f>
        <v>0</v>
      </c>
      <c r="AW732" s="28">
        <f>+R732-'[6]Приложение №1'!$R699</f>
        <v>0</v>
      </c>
      <c r="AX732" s="28">
        <f>+S732-'[6]Приложение №1'!$S699</f>
        <v>0</v>
      </c>
      <c r="AY732" s="28">
        <f>+T732-'[6]Приложение №1'!$T699</f>
        <v>0</v>
      </c>
    </row>
    <row r="733" spans="1:51" s="34" customFormat="1" x14ac:dyDescent="0.25">
      <c r="A733" s="139">
        <f t="shared" si="235"/>
        <v>714</v>
      </c>
      <c r="B733" s="140">
        <f t="shared" si="236"/>
        <v>252</v>
      </c>
      <c r="C733" s="120" t="s">
        <v>68</v>
      </c>
      <c r="D733" s="120" t="s">
        <v>699</v>
      </c>
      <c r="E733" s="121" t="s">
        <v>115</v>
      </c>
      <c r="F733" s="121" t="s">
        <v>115</v>
      </c>
      <c r="G733" s="121" t="s">
        <v>43</v>
      </c>
      <c r="H733" s="121" t="s">
        <v>104</v>
      </c>
      <c r="I733" s="121" t="s">
        <v>101</v>
      </c>
      <c r="J733" s="107">
        <v>3705.9</v>
      </c>
      <c r="K733" s="107">
        <v>2552.3000000000002</v>
      </c>
      <c r="L733" s="107">
        <v>0</v>
      </c>
      <c r="M733" s="122">
        <v>82</v>
      </c>
      <c r="N733" s="123">
        <f t="shared" si="247"/>
        <v>7524757.6654845187</v>
      </c>
      <c r="O733" s="107">
        <v>0</v>
      </c>
      <c r="P733" s="108"/>
      <c r="Q733" s="108">
        <v>0</v>
      </c>
      <c r="R733" s="108">
        <f t="shared" si="252"/>
        <v>1101469.82</v>
      </c>
      <c r="S733" s="108">
        <f>+'Приложение №2'!E733-'Приложение №1'!R733</f>
        <v>6423287.8454845184</v>
      </c>
      <c r="T733" s="108">
        <v>0</v>
      </c>
      <c r="U733" s="108">
        <f t="shared" si="256"/>
        <v>2948.2261746207414</v>
      </c>
      <c r="V733" s="108">
        <v>1420.2830200640001</v>
      </c>
      <c r="W733" s="135">
        <v>2024</v>
      </c>
      <c r="X733" s="34">
        <v>631825.71</v>
      </c>
      <c r="Y733" s="34">
        <f t="shared" si="254"/>
        <v>278711.16000000003</v>
      </c>
      <c r="AA733" s="35">
        <f>+N733-'[5]Приложение № 2'!E666</f>
        <v>-13046578.516770519</v>
      </c>
      <c r="AD733" s="35">
        <f>+N733-'[5]Приложение № 2'!E666</f>
        <v>-13046578.516770519</v>
      </c>
      <c r="AP733" s="77">
        <f>+N733-'Приложение №2'!E733</f>
        <v>0</v>
      </c>
      <c r="AQ733" s="34">
        <v>841135.22</v>
      </c>
      <c r="AR733" s="1">
        <f t="shared" si="251"/>
        <v>260334.6</v>
      </c>
      <c r="AS733" s="1">
        <f>+(K733*10+L733*20)*12*30</f>
        <v>9188280</v>
      </c>
      <c r="AT733" s="28">
        <f t="shared" si="257"/>
        <v>-2764992.1545154816</v>
      </c>
      <c r="AU733" s="28">
        <f>+P733-'[6]Приложение №1'!$P700</f>
        <v>0</v>
      </c>
      <c r="AV733" s="28">
        <f>+Q733-'[6]Приложение №1'!$Q700</f>
        <v>0</v>
      </c>
      <c r="AW733" s="28">
        <f>+R733-'[6]Приложение №1'!$R700</f>
        <v>0</v>
      </c>
      <c r="AX733" s="28">
        <f>+S733-'[6]Приложение №1'!$S700</f>
        <v>0</v>
      </c>
      <c r="AY733" s="28">
        <f>+T733-'[6]Приложение №1'!$T700</f>
        <v>0</v>
      </c>
    </row>
    <row r="734" spans="1:51" x14ac:dyDescent="0.25">
      <c r="A734" s="139">
        <f t="shared" si="235"/>
        <v>715</v>
      </c>
      <c r="B734" s="140">
        <f t="shared" si="236"/>
        <v>253</v>
      </c>
      <c r="C734" s="120" t="s">
        <v>60</v>
      </c>
      <c r="D734" s="120" t="s">
        <v>706</v>
      </c>
      <c r="E734" s="121">
        <v>1980</v>
      </c>
      <c r="F734" s="121">
        <v>2013</v>
      </c>
      <c r="G734" s="121" t="s">
        <v>47</v>
      </c>
      <c r="H734" s="121">
        <v>1</v>
      </c>
      <c r="I734" s="121">
        <v>2</v>
      </c>
      <c r="J734" s="107">
        <v>418.7</v>
      </c>
      <c r="K734" s="107">
        <v>397.3</v>
      </c>
      <c r="L734" s="107">
        <v>0</v>
      </c>
      <c r="M734" s="122">
        <v>19</v>
      </c>
      <c r="N734" s="123">
        <f t="shared" si="247"/>
        <v>3595741.0432031201</v>
      </c>
      <c r="O734" s="107"/>
      <c r="P734" s="108">
        <v>992724.08210077998</v>
      </c>
      <c r="Q734" s="108"/>
      <c r="R734" s="108">
        <f t="shared" ref="R734:S738" si="258">+AR734</f>
        <v>28772.465999999997</v>
      </c>
      <c r="S734" s="108">
        <f t="shared" si="258"/>
        <v>0</v>
      </c>
      <c r="T734" s="108">
        <f>+'Приложение №2'!E734-'Приложение №1'!P734-'Приложение №1'!R734-'Приложение №1'!S734</f>
        <v>2574244.4951023404</v>
      </c>
      <c r="U734" s="108">
        <f t="shared" si="256"/>
        <v>9050.443098925547</v>
      </c>
      <c r="V734" s="108">
        <v>1421.2830200640001</v>
      </c>
      <c r="W734" s="135">
        <v>2024</v>
      </c>
      <c r="X734" s="28" t="e">
        <f>+#REF!-'[1]Приложение №1'!$P447</f>
        <v>#REF!</v>
      </c>
      <c r="Z734" s="30">
        <f t="shared" ref="Z734:Z748" si="259">SUM(AA734:AO734)</f>
        <v>6552939.6500000004</v>
      </c>
      <c r="AA734" s="26">
        <v>0</v>
      </c>
      <c r="AB734" s="26">
        <v>0</v>
      </c>
      <c r="AC734" s="26">
        <v>0</v>
      </c>
      <c r="AD734" s="26">
        <v>0</v>
      </c>
      <c r="AE734" s="26">
        <v>0</v>
      </c>
      <c r="AF734" s="26"/>
      <c r="AG734" s="26">
        <v>0</v>
      </c>
      <c r="AH734" s="26">
        <v>0</v>
      </c>
      <c r="AI734" s="26">
        <v>2736680.7350400002</v>
      </c>
      <c r="AJ734" s="26">
        <v>0</v>
      </c>
      <c r="AK734" s="26">
        <v>0</v>
      </c>
      <c r="AL734" s="26">
        <v>3525835.391022</v>
      </c>
      <c r="AM734" s="26">
        <v>108678.99</v>
      </c>
      <c r="AN734" s="31">
        <v>44795.99</v>
      </c>
      <c r="AO734" s="32">
        <v>136948.54393799999</v>
      </c>
      <c r="AP734" s="77">
        <f>+N734-'Приложение №2'!E734</f>
        <v>0</v>
      </c>
      <c r="AQ734" s="28">
        <f>151001.78-R462</f>
        <v>-28772.465999999986</v>
      </c>
      <c r="AR734" s="1">
        <f t="shared" ref="AR734:AR739" si="260">+(K734*7.1+L734*19.5)*12*0.85</f>
        <v>28772.465999999997</v>
      </c>
      <c r="AS734" s="1">
        <f>+(K734*7.1+L734*19.5)*12*10-S462</f>
        <v>0</v>
      </c>
      <c r="AT734" s="28">
        <f t="shared" si="257"/>
        <v>0</v>
      </c>
      <c r="AU734" s="28">
        <f>+P734-'[6]Приложение №1'!$P701</f>
        <v>0</v>
      </c>
      <c r="AV734" s="28">
        <f>+Q734-'[6]Приложение №1'!$Q701</f>
        <v>0</v>
      </c>
      <c r="AW734" s="28">
        <f>+R734-'[6]Приложение №1'!$R701</f>
        <v>0</v>
      </c>
      <c r="AX734" s="28">
        <f>+S734-'[6]Приложение №1'!$S701</f>
        <v>0</v>
      </c>
      <c r="AY734" s="28">
        <f>+T734-'[6]Приложение №1'!$T701</f>
        <v>0</v>
      </c>
    </row>
    <row r="735" spans="1:51" x14ac:dyDescent="0.25">
      <c r="A735" s="139">
        <f t="shared" si="235"/>
        <v>716</v>
      </c>
      <c r="B735" s="140">
        <f t="shared" si="236"/>
        <v>254</v>
      </c>
      <c r="C735" s="120" t="s">
        <v>60</v>
      </c>
      <c r="D735" s="120" t="s">
        <v>707</v>
      </c>
      <c r="E735" s="121">
        <v>1975</v>
      </c>
      <c r="F735" s="121">
        <v>1975</v>
      </c>
      <c r="G735" s="121" t="s">
        <v>47</v>
      </c>
      <c r="H735" s="121">
        <v>2</v>
      </c>
      <c r="I735" s="121">
        <v>2</v>
      </c>
      <c r="J735" s="107">
        <v>404.7</v>
      </c>
      <c r="K735" s="107">
        <v>359</v>
      </c>
      <c r="L735" s="107">
        <v>0</v>
      </c>
      <c r="M735" s="122">
        <v>19</v>
      </c>
      <c r="N735" s="123">
        <f t="shared" si="247"/>
        <v>107632.58387867997</v>
      </c>
      <c r="O735" s="107"/>
      <c r="P735" s="108">
        <f>+'Приложение №2'!E735-'Приложение №1'!R735</f>
        <v>81633.803878679973</v>
      </c>
      <c r="Q735" s="108"/>
      <c r="R735" s="108">
        <f t="shared" si="258"/>
        <v>25998.780000000002</v>
      </c>
      <c r="S735" s="108">
        <f t="shared" si="258"/>
        <v>0</v>
      </c>
      <c r="T735" s="108">
        <v>0</v>
      </c>
      <c r="U735" s="108">
        <f t="shared" si="256"/>
        <v>299.81221136122554</v>
      </c>
      <c r="V735" s="108">
        <v>1422.2830200640001</v>
      </c>
      <c r="W735" s="135">
        <v>2024</v>
      </c>
      <c r="X735" s="28" t="e">
        <f>+#REF!-'[1]Приложение №1'!$P376</f>
        <v>#REF!</v>
      </c>
      <c r="Z735" s="30">
        <f t="shared" si="259"/>
        <v>2159719.7000000002</v>
      </c>
      <c r="AA735" s="26">
        <v>0</v>
      </c>
      <c r="AB735" s="26">
        <v>0</v>
      </c>
      <c r="AC735" s="26">
        <v>105075.60923999998</v>
      </c>
      <c r="AD735" s="26">
        <v>0</v>
      </c>
      <c r="AE735" s="26">
        <v>0</v>
      </c>
      <c r="AF735" s="26"/>
      <c r="AG735" s="26">
        <v>0</v>
      </c>
      <c r="AH735" s="26">
        <v>0</v>
      </c>
      <c r="AI735" s="26">
        <v>0</v>
      </c>
      <c r="AJ735" s="26">
        <v>0</v>
      </c>
      <c r="AK735" s="26">
        <v>1919964.7690860003</v>
      </c>
      <c r="AL735" s="26">
        <v>0</v>
      </c>
      <c r="AM735" s="26">
        <v>60395.79</v>
      </c>
      <c r="AN735" s="31">
        <v>30000</v>
      </c>
      <c r="AO735" s="32">
        <v>44283.531674000005</v>
      </c>
      <c r="AP735" s="77">
        <f>+N735-'Приложение №2'!E735</f>
        <v>0</v>
      </c>
      <c r="AQ735" s="28">
        <f>127564.57-R464</f>
        <v>-25998.78</v>
      </c>
      <c r="AR735" s="1">
        <f t="shared" si="260"/>
        <v>25998.780000000002</v>
      </c>
      <c r="AS735" s="1">
        <f>+(K735*7.1+L735*19.5)*12*10-S464</f>
        <v>0</v>
      </c>
      <c r="AT735" s="28">
        <f t="shared" si="257"/>
        <v>0</v>
      </c>
      <c r="AU735" s="28">
        <f>+P735-'[6]Приложение №1'!$P702</f>
        <v>0</v>
      </c>
      <c r="AV735" s="28">
        <f>+Q735-'[6]Приложение №1'!$Q702</f>
        <v>0</v>
      </c>
      <c r="AW735" s="28">
        <f>+R735-'[6]Приложение №1'!$R702</f>
        <v>0</v>
      </c>
      <c r="AX735" s="28">
        <f>+S735-'[6]Приложение №1'!$S702</f>
        <v>0</v>
      </c>
      <c r="AY735" s="28">
        <f>+T735-'[6]Приложение №1'!$T702</f>
        <v>0</v>
      </c>
    </row>
    <row r="736" spans="1:51" x14ac:dyDescent="0.25">
      <c r="A736" s="139">
        <f t="shared" si="235"/>
        <v>717</v>
      </c>
      <c r="B736" s="140">
        <f t="shared" si="236"/>
        <v>255</v>
      </c>
      <c r="C736" s="120" t="s">
        <v>60</v>
      </c>
      <c r="D736" s="120" t="s">
        <v>708</v>
      </c>
      <c r="E736" s="121">
        <v>1982</v>
      </c>
      <c r="F736" s="121">
        <v>1982</v>
      </c>
      <c r="G736" s="121" t="s">
        <v>47</v>
      </c>
      <c r="H736" s="121">
        <v>2</v>
      </c>
      <c r="I736" s="121">
        <v>3</v>
      </c>
      <c r="J736" s="107">
        <v>1277.5</v>
      </c>
      <c r="K736" s="107">
        <v>1102.3</v>
      </c>
      <c r="L736" s="107">
        <v>0</v>
      </c>
      <c r="M736" s="122">
        <v>34</v>
      </c>
      <c r="N736" s="123">
        <f t="shared" si="247"/>
        <v>6001006.839799501</v>
      </c>
      <c r="O736" s="107"/>
      <c r="P736" s="108">
        <v>1647930.1753248754</v>
      </c>
      <c r="Q736" s="108"/>
      <c r="R736" s="108">
        <f t="shared" si="258"/>
        <v>79828.565999999992</v>
      </c>
      <c r="S736" s="108">
        <f t="shared" si="258"/>
        <v>0</v>
      </c>
      <c r="T736" s="108">
        <f>+'Приложение №2'!E736-'Приложение №1'!P736-'Приложение №1'!R736-'Приложение №1'!S736</f>
        <v>4273248.0984746255</v>
      </c>
      <c r="U736" s="108">
        <f t="shared" si="256"/>
        <v>5444.0776919164482</v>
      </c>
      <c r="V736" s="108">
        <v>1423.2830200640001</v>
      </c>
      <c r="W736" s="135">
        <v>2024</v>
      </c>
      <c r="X736" s="28" t="e">
        <f>+#REF!-'[1]Приложение №1'!$P445</f>
        <v>#REF!</v>
      </c>
      <c r="Z736" s="30">
        <f t="shared" si="259"/>
        <v>20938342.830000006</v>
      </c>
      <c r="AA736" s="26">
        <v>2788532.6780639999</v>
      </c>
      <c r="AB736" s="26">
        <v>0</v>
      </c>
      <c r="AC736" s="26">
        <v>377369.21947199997</v>
      </c>
      <c r="AD736" s="26">
        <v>1566144.8148779999</v>
      </c>
      <c r="AE736" s="26">
        <v>0</v>
      </c>
      <c r="AF736" s="26"/>
      <c r="AG736" s="26">
        <v>616763.67752999999</v>
      </c>
      <c r="AH736" s="26">
        <v>0</v>
      </c>
      <c r="AI736" s="26">
        <v>3422622.3707340001</v>
      </c>
      <c r="AJ736" s="26">
        <v>0</v>
      </c>
      <c r="AK736" s="26">
        <v>5952055.6381440004</v>
      </c>
      <c r="AL736" s="26">
        <v>5507536.2469260003</v>
      </c>
      <c r="AM736" s="26">
        <v>219906.35</v>
      </c>
      <c r="AN736" s="31">
        <v>45000.3</v>
      </c>
      <c r="AO736" s="32">
        <v>442411.53425199992</v>
      </c>
      <c r="AP736" s="77">
        <f>+N736-'Приложение №2'!E736</f>
        <v>0</v>
      </c>
      <c r="AQ736" s="28">
        <f>346513.17-R465</f>
        <v>-79828.565999999992</v>
      </c>
      <c r="AR736" s="1">
        <f t="shared" si="260"/>
        <v>79828.565999999992</v>
      </c>
      <c r="AS736" s="1">
        <f>+(K736*7.1+L736*19.5)*12*10-S465</f>
        <v>0</v>
      </c>
      <c r="AT736" s="28">
        <f t="shared" si="257"/>
        <v>0</v>
      </c>
      <c r="AU736" s="28">
        <f>+P736-'[6]Приложение №1'!$P703</f>
        <v>0</v>
      </c>
      <c r="AV736" s="28">
        <f>+Q736-'[6]Приложение №1'!$Q703</f>
        <v>0</v>
      </c>
      <c r="AW736" s="28">
        <f>+R736-'[6]Приложение №1'!$R703</f>
        <v>0</v>
      </c>
      <c r="AX736" s="28">
        <f>+S736-'[6]Приложение №1'!$S703</f>
        <v>0</v>
      </c>
      <c r="AY736" s="28">
        <f>+T736-'[6]Приложение №1'!$T703</f>
        <v>0</v>
      </c>
    </row>
    <row r="737" spans="1:51" x14ac:dyDescent="0.25">
      <c r="A737" s="139">
        <f t="shared" si="235"/>
        <v>718</v>
      </c>
      <c r="B737" s="140">
        <f t="shared" si="236"/>
        <v>256</v>
      </c>
      <c r="C737" s="120" t="s">
        <v>60</v>
      </c>
      <c r="D737" s="120" t="s">
        <v>709</v>
      </c>
      <c r="E737" s="121">
        <v>1980</v>
      </c>
      <c r="F737" s="121">
        <v>2009</v>
      </c>
      <c r="G737" s="121" t="s">
        <v>47</v>
      </c>
      <c r="H737" s="121">
        <v>2</v>
      </c>
      <c r="I737" s="121">
        <v>2</v>
      </c>
      <c r="J737" s="107">
        <v>672.9</v>
      </c>
      <c r="K737" s="107">
        <v>611.1</v>
      </c>
      <c r="L737" s="107">
        <v>0</v>
      </c>
      <c r="M737" s="122">
        <v>29</v>
      </c>
      <c r="N737" s="123">
        <f t="shared" si="247"/>
        <v>3580147.76291</v>
      </c>
      <c r="O737" s="107"/>
      <c r="P737" s="108">
        <v>1036056.2405274999</v>
      </c>
      <c r="Q737" s="108"/>
      <c r="R737" s="108">
        <f t="shared" si="258"/>
        <v>44255.861999999994</v>
      </c>
      <c r="S737" s="108">
        <f t="shared" si="258"/>
        <v>0</v>
      </c>
      <c r="T737" s="108">
        <f>+'Приложение №2'!E737-'Приложение №1'!P737-'Приложение №1'!R737-'Приложение №1'!S737</f>
        <v>2499835.6603824999</v>
      </c>
      <c r="U737" s="108">
        <f t="shared" si="256"/>
        <v>5858.5301307641957</v>
      </c>
      <c r="V737" s="108">
        <v>1424.2830200640001</v>
      </c>
      <c r="W737" s="135">
        <v>2024</v>
      </c>
      <c r="X737" s="28" t="e">
        <f>+#REF!-'[1]Приложение №1'!$P445</f>
        <v>#REF!</v>
      </c>
      <c r="Z737" s="30">
        <f t="shared" si="259"/>
        <v>11378629.49</v>
      </c>
      <c r="AA737" s="26">
        <v>1424337.5088524399</v>
      </c>
      <c r="AB737" s="26">
        <v>0</v>
      </c>
      <c r="AC737" s="26">
        <v>0</v>
      </c>
      <c r="AD737" s="26">
        <v>760379.17506936006</v>
      </c>
      <c r="AE737" s="26">
        <v>0</v>
      </c>
      <c r="AF737" s="26"/>
      <c r="AG737" s="26">
        <v>334977.14468904003</v>
      </c>
      <c r="AH737" s="26">
        <v>0</v>
      </c>
      <c r="AI737" s="26">
        <v>1736316.6240672001</v>
      </c>
      <c r="AJ737" s="26">
        <v>0</v>
      </c>
      <c r="AK737" s="26">
        <v>2963106.3528674999</v>
      </c>
      <c r="AL737" s="26">
        <v>2745980.9435167201</v>
      </c>
      <c r="AM737" s="26">
        <v>1081828.9410000001</v>
      </c>
      <c r="AN737" s="31">
        <v>113786.29490000001</v>
      </c>
      <c r="AO737" s="32">
        <v>217916.50503774002</v>
      </c>
      <c r="AP737" s="77">
        <f>+N737-'Приложение №2'!E737</f>
        <v>0</v>
      </c>
      <c r="AQ737" s="28">
        <f>185404.37-R467</f>
        <v>-44255.861999999994</v>
      </c>
      <c r="AR737" s="1">
        <f t="shared" si="260"/>
        <v>44255.861999999994</v>
      </c>
      <c r="AS737" s="1">
        <f>+(K737*7.1+L737*19.5)*12*10-S467</f>
        <v>0</v>
      </c>
      <c r="AT737" s="28">
        <f t="shared" si="257"/>
        <v>0</v>
      </c>
      <c r="AU737" s="28">
        <f>+P737-'[6]Приложение №1'!$P704</f>
        <v>0</v>
      </c>
      <c r="AV737" s="28">
        <f>+Q737-'[6]Приложение №1'!$Q704</f>
        <v>0</v>
      </c>
      <c r="AW737" s="28">
        <f>+R737-'[6]Приложение №1'!$R704</f>
        <v>0</v>
      </c>
      <c r="AX737" s="28">
        <f>+S737-'[6]Приложение №1'!$S704</f>
        <v>0</v>
      </c>
      <c r="AY737" s="28">
        <f>+T737-'[6]Приложение №1'!$T704</f>
        <v>0</v>
      </c>
    </row>
    <row r="738" spans="1:51" x14ac:dyDescent="0.25">
      <c r="A738" s="139">
        <f t="shared" si="235"/>
        <v>719</v>
      </c>
      <c r="B738" s="140">
        <f t="shared" si="236"/>
        <v>257</v>
      </c>
      <c r="C738" s="120" t="s">
        <v>60</v>
      </c>
      <c r="D738" s="120" t="s">
        <v>710</v>
      </c>
      <c r="E738" s="121">
        <v>1977</v>
      </c>
      <c r="F738" s="121">
        <v>2009</v>
      </c>
      <c r="G738" s="121" t="s">
        <v>47</v>
      </c>
      <c r="H738" s="121">
        <v>2</v>
      </c>
      <c r="I738" s="121">
        <v>2</v>
      </c>
      <c r="J738" s="107">
        <v>513.5</v>
      </c>
      <c r="K738" s="107">
        <v>482.7</v>
      </c>
      <c r="L738" s="107">
        <v>0</v>
      </c>
      <c r="M738" s="122">
        <v>23</v>
      </c>
      <c r="N738" s="123">
        <f t="shared" si="247"/>
        <v>2428220.8694842998</v>
      </c>
      <c r="O738" s="107"/>
      <c r="P738" s="108">
        <v>666824.07274607487</v>
      </c>
      <c r="Q738" s="108"/>
      <c r="R738" s="108">
        <f t="shared" si="258"/>
        <v>34957.133999999991</v>
      </c>
      <c r="S738" s="108">
        <f t="shared" si="258"/>
        <v>0</v>
      </c>
      <c r="T738" s="108">
        <f>+'Приложение №2'!E738-'Приложение №1'!P738-'Приложение №1'!R738-'Приложение №1'!S738</f>
        <v>1726439.662738225</v>
      </c>
      <c r="U738" s="108">
        <f t="shared" si="256"/>
        <v>5030.4969328450379</v>
      </c>
      <c r="V738" s="108">
        <v>1425.2830200640001</v>
      </c>
      <c r="W738" s="135">
        <v>2024</v>
      </c>
      <c r="X738" s="28" t="e">
        <f>+#REF!-'[1]Приложение №1'!$P270</f>
        <v>#REF!</v>
      </c>
      <c r="Z738" s="30">
        <f t="shared" si="259"/>
        <v>8714786.4700000007</v>
      </c>
      <c r="AA738" s="26">
        <v>1207621.7677859999</v>
      </c>
      <c r="AB738" s="26">
        <v>0</v>
      </c>
      <c r="AC738" s="26">
        <v>0</v>
      </c>
      <c r="AD738" s="26">
        <v>674481.81868200004</v>
      </c>
      <c r="AE738" s="26">
        <v>0</v>
      </c>
      <c r="AF738" s="26"/>
      <c r="AG738" s="26">
        <v>0</v>
      </c>
      <c r="AH738" s="26">
        <v>0</v>
      </c>
      <c r="AI738" s="26">
        <v>1465015.4884260001</v>
      </c>
      <c r="AJ738" s="26">
        <v>0</v>
      </c>
      <c r="AK738" s="26">
        <v>2572639.0445699999</v>
      </c>
      <c r="AL738" s="26">
        <v>2380773.3781019999</v>
      </c>
      <c r="AM738" s="26">
        <v>188635.93</v>
      </c>
      <c r="AN738" s="31">
        <v>44103.229999999996</v>
      </c>
      <c r="AO738" s="32">
        <v>181515.81243399999</v>
      </c>
      <c r="AP738" s="77">
        <f>+N738-'Приложение №2'!E738</f>
        <v>0</v>
      </c>
      <c r="AQ738" s="28">
        <f>147984.43-R466</f>
        <v>-34957.133999999991</v>
      </c>
      <c r="AR738" s="1">
        <f t="shared" si="260"/>
        <v>34957.133999999991</v>
      </c>
      <c r="AS738" s="1">
        <f>+(K738*7.1+L738*19.5)*12*10-S466</f>
        <v>0</v>
      </c>
      <c r="AT738" s="28">
        <f t="shared" si="257"/>
        <v>0</v>
      </c>
      <c r="AU738" s="28">
        <f>+P738-'[6]Приложение №1'!$P705</f>
        <v>0</v>
      </c>
      <c r="AV738" s="28">
        <f>+Q738-'[6]Приложение №1'!$Q705</f>
        <v>0</v>
      </c>
      <c r="AW738" s="28">
        <f>+R738-'[6]Приложение №1'!$R705</f>
        <v>0</v>
      </c>
      <c r="AX738" s="28">
        <f>+S738-'[6]Приложение №1'!$S705</f>
        <v>0</v>
      </c>
      <c r="AY738" s="28">
        <f>+T738-'[6]Приложение №1'!$T705</f>
        <v>0</v>
      </c>
    </row>
    <row r="739" spans="1:51" x14ac:dyDescent="0.25">
      <c r="A739" s="139">
        <f t="shared" si="235"/>
        <v>720</v>
      </c>
      <c r="B739" s="140">
        <f t="shared" si="236"/>
        <v>258</v>
      </c>
      <c r="C739" s="120" t="s">
        <v>69</v>
      </c>
      <c r="D739" s="120" t="s">
        <v>711</v>
      </c>
      <c r="E739" s="121">
        <v>1981</v>
      </c>
      <c r="F739" s="121">
        <v>2012</v>
      </c>
      <c r="G739" s="121" t="s">
        <v>47</v>
      </c>
      <c r="H739" s="121">
        <v>2</v>
      </c>
      <c r="I739" s="121">
        <v>2</v>
      </c>
      <c r="J739" s="107">
        <v>1102.5</v>
      </c>
      <c r="K739" s="107">
        <v>944.54</v>
      </c>
      <c r="L739" s="107">
        <v>0</v>
      </c>
      <c r="M739" s="122">
        <v>51</v>
      </c>
      <c r="N739" s="133">
        <f t="shared" ref="N739" si="261">+P739+Q739+R739+S739+T739</f>
        <v>6440275.3677098369</v>
      </c>
      <c r="O739" s="107"/>
      <c r="P739" s="108">
        <f>+'Приложение №2'!E739-'Приложение №1'!R739</f>
        <v>6371871.7809098372</v>
      </c>
      <c r="Q739" s="108"/>
      <c r="R739" s="108">
        <f>+AR739</f>
        <v>68403.58679999999</v>
      </c>
      <c r="S739" s="108"/>
      <c r="T739" s="108"/>
      <c r="U739" s="108"/>
      <c r="V739" s="108"/>
      <c r="W739" s="135">
        <v>2024</v>
      </c>
      <c r="X739" s="28"/>
      <c r="Z739" s="30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31"/>
      <c r="AO739" s="32"/>
      <c r="AP739" s="77">
        <f>+N739-'Приложение №2'!E739</f>
        <v>0</v>
      </c>
      <c r="AQ739" s="33">
        <f>272576.7+AR469-R469</f>
        <v>0</v>
      </c>
      <c r="AR739" s="1">
        <f t="shared" si="260"/>
        <v>68403.58679999999</v>
      </c>
      <c r="AS739" s="1">
        <f>+(K739*7.1+L739*19.5)*12*10-S469</f>
        <v>0</v>
      </c>
      <c r="AT739" s="28"/>
      <c r="AU739" s="28"/>
      <c r="AV739" s="28"/>
      <c r="AW739" s="28"/>
      <c r="AX739" s="28"/>
      <c r="AY739" s="28"/>
    </row>
    <row r="740" spans="1:51" x14ac:dyDescent="0.25">
      <c r="A740" s="139">
        <f t="shared" ref="A740:A753" si="262">+A739+1</f>
        <v>721</v>
      </c>
      <c r="B740" s="140">
        <f t="shared" ref="B740:B753" si="263">+B739+1</f>
        <v>259</v>
      </c>
      <c r="C740" s="120" t="s">
        <v>62</v>
      </c>
      <c r="D740" s="120" t="s">
        <v>721</v>
      </c>
      <c r="E740" s="121">
        <v>1995</v>
      </c>
      <c r="F740" s="121">
        <v>1995</v>
      </c>
      <c r="G740" s="121" t="s">
        <v>43</v>
      </c>
      <c r="H740" s="121">
        <v>5</v>
      </c>
      <c r="I740" s="121">
        <v>4</v>
      </c>
      <c r="J740" s="107">
        <v>4970.7</v>
      </c>
      <c r="K740" s="107">
        <v>4454.7</v>
      </c>
      <c r="L740" s="107">
        <v>0</v>
      </c>
      <c r="M740" s="122">
        <v>173</v>
      </c>
      <c r="N740" s="123">
        <f t="shared" si="247"/>
        <v>1513766.7257999999</v>
      </c>
      <c r="O740" s="107"/>
      <c r="P740" s="108"/>
      <c r="Q740" s="108"/>
      <c r="R740" s="108">
        <f>+'Приложение №2'!E740</f>
        <v>1513766.7257999999</v>
      </c>
      <c r="S740" s="108">
        <f>+'Приложение №2'!E740-'Приложение №1'!R740</f>
        <v>0</v>
      </c>
      <c r="T740" s="108">
        <v>0</v>
      </c>
      <c r="U740" s="108">
        <f t="shared" si="256"/>
        <v>339.81339389857902</v>
      </c>
      <c r="V740" s="108">
        <v>1426.2830200640001</v>
      </c>
      <c r="W740" s="135">
        <v>2024</v>
      </c>
      <c r="X740" s="28">
        <f>+S740-'[1]Приложение №1'!$P894</f>
        <v>-2193864.8199999998</v>
      </c>
      <c r="Z740" s="30">
        <f t="shared" si="259"/>
        <v>2193864.8199999998</v>
      </c>
      <c r="AA740" s="26">
        <v>0</v>
      </c>
      <c r="AB740" s="26">
        <v>0</v>
      </c>
      <c r="AC740" s="26">
        <v>0</v>
      </c>
      <c r="AD740" s="26">
        <v>0</v>
      </c>
      <c r="AE740" s="26">
        <v>1481372.1178678798</v>
      </c>
      <c r="AF740" s="26"/>
      <c r="AG740" s="26">
        <v>0</v>
      </c>
      <c r="AH740" s="26">
        <v>0</v>
      </c>
      <c r="AI740" s="26">
        <v>0</v>
      </c>
      <c r="AJ740" s="26">
        <v>0</v>
      </c>
      <c r="AK740" s="26">
        <v>0</v>
      </c>
      <c r="AL740" s="26">
        <v>0</v>
      </c>
      <c r="AM740" s="26">
        <v>658159.44599999988</v>
      </c>
      <c r="AN740" s="31">
        <v>21938.6482</v>
      </c>
      <c r="AO740" s="32">
        <v>32394.607932119998</v>
      </c>
      <c r="AP740" s="77">
        <f>+N740-'Приложение №2'!E740</f>
        <v>0</v>
      </c>
      <c r="AQ740" s="1">
        <f>1874094.93-250624.417-560475.56</f>
        <v>1062994.953</v>
      </c>
      <c r="AR740" s="1">
        <f t="shared" ref="AR740:AR753" si="264">+(K740*10+L740*20)*12*0.85</f>
        <v>454379.39999999997</v>
      </c>
      <c r="AS740" s="1">
        <f>+(K740*10+L740*20)*12*30-797057.91-3909441.68</f>
        <v>11330420.41</v>
      </c>
      <c r="AT740" s="28">
        <f t="shared" si="257"/>
        <v>-11330420.41</v>
      </c>
      <c r="AU740" s="28">
        <f>+P740-'[6]Приложение №1'!$P706</f>
        <v>0</v>
      </c>
      <c r="AV740" s="28">
        <f>+Q740-'[6]Приложение №1'!$Q706</f>
        <v>0</v>
      </c>
      <c r="AW740" s="28">
        <f>+R740-'[6]Приложение №1'!$R706</f>
        <v>0</v>
      </c>
      <c r="AX740" s="28">
        <f>+S740-'[6]Приложение №1'!$S706</f>
        <v>0</v>
      </c>
      <c r="AY740" s="28">
        <f>+T740-'[6]Приложение №1'!$T706</f>
        <v>0</v>
      </c>
    </row>
    <row r="741" spans="1:51" x14ac:dyDescent="0.25">
      <c r="A741" s="139">
        <f t="shared" si="262"/>
        <v>722</v>
      </c>
      <c r="B741" s="140">
        <f t="shared" si="263"/>
        <v>260</v>
      </c>
      <c r="C741" s="120" t="s">
        <v>62</v>
      </c>
      <c r="D741" s="120" t="s">
        <v>722</v>
      </c>
      <c r="E741" s="121">
        <v>1982</v>
      </c>
      <c r="F741" s="121">
        <v>2009</v>
      </c>
      <c r="G741" s="121" t="s">
        <v>43</v>
      </c>
      <c r="H741" s="121">
        <v>5</v>
      </c>
      <c r="I741" s="121">
        <v>2</v>
      </c>
      <c r="J741" s="107">
        <v>1767.9</v>
      </c>
      <c r="K741" s="107">
        <v>1603</v>
      </c>
      <c r="L741" s="107">
        <v>0</v>
      </c>
      <c r="M741" s="122">
        <v>65</v>
      </c>
      <c r="N741" s="123">
        <f t="shared" si="247"/>
        <v>543894.30090000003</v>
      </c>
      <c r="O741" s="107"/>
      <c r="P741" s="108"/>
      <c r="Q741" s="108"/>
      <c r="R741" s="108">
        <v>0</v>
      </c>
      <c r="S741" s="108">
        <f>+'Приложение №2'!E741-'Приложение №1'!R741</f>
        <v>543894.30090000003</v>
      </c>
      <c r="T741" s="108">
        <v>0</v>
      </c>
      <c r="U741" s="108">
        <f t="shared" si="256"/>
        <v>339.29775477230197</v>
      </c>
      <c r="V741" s="108">
        <v>1427.2830200640001</v>
      </c>
      <c r="W741" s="135">
        <v>2024</v>
      </c>
      <c r="X741" s="28" t="e">
        <f>+#REF!-'[1]Приложение №1'!$P895</f>
        <v>#REF!</v>
      </c>
      <c r="Z741" s="30">
        <f t="shared" si="259"/>
        <v>788252.6100000001</v>
      </c>
      <c r="AA741" s="26">
        <v>0</v>
      </c>
      <c r="AB741" s="26">
        <v>0</v>
      </c>
      <c r="AC741" s="26">
        <v>0</v>
      </c>
      <c r="AD741" s="26">
        <v>0</v>
      </c>
      <c r="AE741" s="26">
        <v>532254.96286074002</v>
      </c>
      <c r="AF741" s="26"/>
      <c r="AG741" s="26">
        <v>0</v>
      </c>
      <c r="AH741" s="26">
        <v>0</v>
      </c>
      <c r="AI741" s="26">
        <v>0</v>
      </c>
      <c r="AJ741" s="26">
        <v>0</v>
      </c>
      <c r="AK741" s="26">
        <v>0</v>
      </c>
      <c r="AL741" s="26">
        <v>0</v>
      </c>
      <c r="AM741" s="26">
        <v>236475.783</v>
      </c>
      <c r="AN741" s="31">
        <v>7882.5261</v>
      </c>
      <c r="AO741" s="32">
        <v>11639.338039260001</v>
      </c>
      <c r="AP741" s="77">
        <f>+N741-'Приложение №2'!E741</f>
        <v>0</v>
      </c>
      <c r="AQ741" s="1">
        <f>641836.2-'[2]Приложение №1'!$R$136-'[2]Приложение №1'!$R$188</f>
        <v>-154376.49000000005</v>
      </c>
      <c r="AR741" s="1">
        <f t="shared" si="264"/>
        <v>163506</v>
      </c>
      <c r="AS741" s="1">
        <f>+(K741*10+L741*20)*12*30-'[2]Приложение №1'!$S$136-'[2]Приложение №1'!$S$188</f>
        <v>4840060.51</v>
      </c>
      <c r="AT741" s="28">
        <f t="shared" si="257"/>
        <v>-4296166.2090999996</v>
      </c>
      <c r="AU741" s="28">
        <f>+P741-'[6]Приложение №1'!$P707</f>
        <v>0</v>
      </c>
      <c r="AV741" s="28">
        <f>+Q741-'[6]Приложение №1'!$Q707</f>
        <v>0</v>
      </c>
      <c r="AW741" s="28">
        <f>+R741-'[6]Приложение №1'!$R707</f>
        <v>0</v>
      </c>
      <c r="AX741" s="28">
        <f>+S741-'[6]Приложение №1'!$S707</f>
        <v>0</v>
      </c>
      <c r="AY741" s="28">
        <f>+T741-'[6]Приложение №1'!$T707</f>
        <v>0</v>
      </c>
    </row>
    <row r="742" spans="1:51" x14ac:dyDescent="0.25">
      <c r="A742" s="139">
        <f t="shared" si="262"/>
        <v>723</v>
      </c>
      <c r="B742" s="140">
        <f t="shared" si="263"/>
        <v>261</v>
      </c>
      <c r="C742" s="120" t="s">
        <v>62</v>
      </c>
      <c r="D742" s="120" t="s">
        <v>723</v>
      </c>
      <c r="E742" s="121">
        <v>1992</v>
      </c>
      <c r="F742" s="121">
        <v>1992</v>
      </c>
      <c r="G742" s="121" t="s">
        <v>43</v>
      </c>
      <c r="H742" s="121">
        <v>5</v>
      </c>
      <c r="I742" s="121">
        <v>2</v>
      </c>
      <c r="J742" s="107">
        <v>1787.3</v>
      </c>
      <c r="K742" s="107">
        <v>1278.2</v>
      </c>
      <c r="L742" s="107">
        <v>214.2</v>
      </c>
      <c r="M742" s="122">
        <v>44</v>
      </c>
      <c r="N742" s="123">
        <f t="shared" si="247"/>
        <v>536732.4389999999</v>
      </c>
      <c r="O742" s="107"/>
      <c r="P742" s="108"/>
      <c r="Q742" s="108"/>
      <c r="R742" s="108">
        <v>0</v>
      </c>
      <c r="S742" s="108">
        <f>+'Приложение №2'!E742-'Приложение №1'!R742</f>
        <v>536732.4389999999</v>
      </c>
      <c r="T742" s="108">
        <v>0</v>
      </c>
      <c r="U742" s="108">
        <f t="shared" si="256"/>
        <v>419.91272023157558</v>
      </c>
      <c r="V742" s="108">
        <v>1428.2830200640001</v>
      </c>
      <c r="W742" s="135">
        <v>2024</v>
      </c>
      <c r="X742" s="28" t="e">
        <f>+#REF!-'[1]Приложение №1'!$P896</f>
        <v>#REF!</v>
      </c>
      <c r="Z742" s="30">
        <f t="shared" si="259"/>
        <v>777873.09999999986</v>
      </c>
      <c r="AA742" s="26">
        <v>0</v>
      </c>
      <c r="AB742" s="26">
        <v>0</v>
      </c>
      <c r="AC742" s="26">
        <v>0</v>
      </c>
      <c r="AD742" s="26">
        <v>0</v>
      </c>
      <c r="AE742" s="26">
        <v>525246.36480539991</v>
      </c>
      <c r="AF742" s="26"/>
      <c r="AG742" s="26">
        <v>0</v>
      </c>
      <c r="AH742" s="26">
        <v>0</v>
      </c>
      <c r="AI742" s="26">
        <v>0</v>
      </c>
      <c r="AJ742" s="26">
        <v>0</v>
      </c>
      <c r="AK742" s="26">
        <v>0</v>
      </c>
      <c r="AL742" s="26">
        <v>0</v>
      </c>
      <c r="AM742" s="26">
        <v>233361.93</v>
      </c>
      <c r="AN742" s="31">
        <v>7778.7309999999998</v>
      </c>
      <c r="AO742" s="32">
        <v>11486.074194599998</v>
      </c>
      <c r="AP742" s="77">
        <f>+N742-'Приложение №2'!E742</f>
        <v>0</v>
      </c>
      <c r="AQ742" s="1">
        <f>626393.04-'[2]Приложение №1'!$R$137-'[2]Приложение №1'!$R$189</f>
        <v>-176086.42999999993</v>
      </c>
      <c r="AR742" s="1">
        <f t="shared" si="264"/>
        <v>174073.19999999998</v>
      </c>
      <c r="AS742" s="1">
        <f>+(K742*10+L742*20)*12*30-'[2]Приложение №1'!$S$189</f>
        <v>5576287.9000000004</v>
      </c>
      <c r="AT742" s="28">
        <f t="shared" si="257"/>
        <v>-5039555.4610000001</v>
      </c>
      <c r="AU742" s="28">
        <f>+P742-'[6]Приложение №1'!$P708</f>
        <v>0</v>
      </c>
      <c r="AV742" s="28">
        <f>+Q742-'[6]Приложение №1'!$Q708</f>
        <v>0</v>
      </c>
      <c r="AW742" s="28">
        <f>+R742-'[6]Приложение №1'!$R708</f>
        <v>0</v>
      </c>
      <c r="AX742" s="28">
        <f>+S742-'[6]Приложение №1'!$S708</f>
        <v>0</v>
      </c>
      <c r="AY742" s="28">
        <f>+T742-'[6]Приложение №1'!$T708</f>
        <v>0</v>
      </c>
    </row>
    <row r="743" spans="1:51" x14ac:dyDescent="0.25">
      <c r="A743" s="139">
        <f t="shared" si="262"/>
        <v>724</v>
      </c>
      <c r="B743" s="140">
        <f t="shared" si="263"/>
        <v>262</v>
      </c>
      <c r="C743" s="120" t="s">
        <v>62</v>
      </c>
      <c r="D743" s="120" t="s">
        <v>724</v>
      </c>
      <c r="E743" s="121">
        <v>1974</v>
      </c>
      <c r="F743" s="121">
        <v>1974</v>
      </c>
      <c r="G743" s="121" t="s">
        <v>43</v>
      </c>
      <c r="H743" s="121">
        <v>2</v>
      </c>
      <c r="I743" s="121">
        <v>3</v>
      </c>
      <c r="J743" s="107">
        <v>1039.5</v>
      </c>
      <c r="K743" s="107">
        <v>915.4</v>
      </c>
      <c r="L743" s="107">
        <v>0</v>
      </c>
      <c r="M743" s="122">
        <v>39</v>
      </c>
      <c r="N743" s="123">
        <f t="shared" si="247"/>
        <v>367776.86744473106</v>
      </c>
      <c r="O743" s="107"/>
      <c r="P743" s="108"/>
      <c r="Q743" s="108"/>
      <c r="R743" s="108">
        <f>+'Приложение №2'!E743</f>
        <v>367776.86744473106</v>
      </c>
      <c r="S743" s="108">
        <f>+'Приложение №2'!E743-'Приложение №1'!R743</f>
        <v>0</v>
      </c>
      <c r="T743" s="108">
        <v>0</v>
      </c>
      <c r="U743" s="108">
        <f t="shared" si="256"/>
        <v>401.76629609430967</v>
      </c>
      <c r="V743" s="108">
        <v>1429.2830200640001</v>
      </c>
      <c r="W743" s="135">
        <v>2024</v>
      </c>
      <c r="X743" s="28" t="e">
        <f>+#REF!-'[1]Приложение №1'!$P545</f>
        <v>#REF!</v>
      </c>
      <c r="Z743" s="30">
        <f t="shared" si="259"/>
        <v>3610896</v>
      </c>
      <c r="AA743" s="26">
        <v>2740937.5436570398</v>
      </c>
      <c r="AB743" s="26">
        <v>0</v>
      </c>
      <c r="AC743" s="26">
        <v>0</v>
      </c>
      <c r="AD743" s="26">
        <v>0</v>
      </c>
      <c r="AE743" s="26">
        <v>359906.44733063993</v>
      </c>
      <c r="AF743" s="26"/>
      <c r="AG743" s="26">
        <v>0</v>
      </c>
      <c r="AH743" s="26">
        <v>0</v>
      </c>
      <c r="AI743" s="26">
        <v>0</v>
      </c>
      <c r="AJ743" s="26">
        <v>0</v>
      </c>
      <c r="AK743" s="26">
        <v>0</v>
      </c>
      <c r="AL743" s="26">
        <v>0</v>
      </c>
      <c r="AM743" s="26">
        <v>406133.87119999999</v>
      </c>
      <c r="AN743" s="31">
        <v>36108.959999999999</v>
      </c>
      <c r="AO743" s="32">
        <v>67809.177812320006</v>
      </c>
      <c r="AP743" s="77">
        <f>+N743-'Приложение №2'!E743</f>
        <v>0</v>
      </c>
      <c r="AQ743" s="1">
        <f>360631.56-73856.3028</f>
        <v>286775.25719999999</v>
      </c>
      <c r="AR743" s="1">
        <f t="shared" si="264"/>
        <v>93370.8</v>
      </c>
      <c r="AS743" s="1">
        <f>+(K743*10+L743*20)*12*30-396640.91</f>
        <v>2898799.09</v>
      </c>
      <c r="AT743" s="28">
        <f t="shared" si="257"/>
        <v>-2898799.09</v>
      </c>
      <c r="AU743" s="28">
        <f>+P743-'[6]Приложение №1'!$P709</f>
        <v>0</v>
      </c>
      <c r="AV743" s="28">
        <f>+Q743-'[6]Приложение №1'!$Q709</f>
        <v>0</v>
      </c>
      <c r="AW743" s="28">
        <f>+R743-'[6]Приложение №1'!$R709</f>
        <v>0</v>
      </c>
      <c r="AX743" s="28">
        <f>+S743-'[6]Приложение №1'!$S709</f>
        <v>0</v>
      </c>
      <c r="AY743" s="28">
        <f>+T743-'[6]Приложение №1'!$T709</f>
        <v>0</v>
      </c>
    </row>
    <row r="744" spans="1:51" x14ac:dyDescent="0.25">
      <c r="A744" s="139">
        <f t="shared" si="262"/>
        <v>725</v>
      </c>
      <c r="B744" s="140">
        <f t="shared" si="263"/>
        <v>263</v>
      </c>
      <c r="C744" s="120" t="s">
        <v>62</v>
      </c>
      <c r="D744" s="120" t="s">
        <v>725</v>
      </c>
      <c r="E744" s="121">
        <v>1987</v>
      </c>
      <c r="F744" s="121">
        <v>2009</v>
      </c>
      <c r="G744" s="121" t="s">
        <v>43</v>
      </c>
      <c r="H744" s="121">
        <v>5</v>
      </c>
      <c r="I744" s="121">
        <v>6</v>
      </c>
      <c r="J744" s="107">
        <v>7333.8</v>
      </c>
      <c r="K744" s="107">
        <v>6313.3</v>
      </c>
      <c r="L744" s="107">
        <v>0</v>
      </c>
      <c r="M744" s="122">
        <v>271</v>
      </c>
      <c r="N744" s="123">
        <f t="shared" ref="N744:N753" si="265">SUM(O744:T744)</f>
        <v>2143162.1283</v>
      </c>
      <c r="O744" s="107"/>
      <c r="P744" s="108"/>
      <c r="Q744" s="108"/>
      <c r="R744" s="108">
        <f>+AQ744+AR744</f>
        <v>1746851.7199999997</v>
      </c>
      <c r="S744" s="108">
        <f>+'Приложение №2'!E744-'Приложение №1'!R744</f>
        <v>396310.40830000024</v>
      </c>
      <c r="T744" s="108">
        <v>0</v>
      </c>
      <c r="U744" s="108">
        <f t="shared" si="256"/>
        <v>339.46781054282229</v>
      </c>
      <c r="V744" s="108">
        <v>1430.2830200640001</v>
      </c>
      <c r="W744" s="135">
        <v>2024</v>
      </c>
      <c r="X744" s="28" t="e">
        <f>+#REF!-'[1]Приложение №1'!$P899</f>
        <v>#REF!</v>
      </c>
      <c r="Z744" s="30">
        <f t="shared" si="259"/>
        <v>3106032.07</v>
      </c>
      <c r="AA744" s="26">
        <v>0</v>
      </c>
      <c r="AB744" s="26">
        <v>0</v>
      </c>
      <c r="AC744" s="26">
        <v>0</v>
      </c>
      <c r="AD744" s="26">
        <v>0</v>
      </c>
      <c r="AE744" s="26">
        <v>2097298.4587543798</v>
      </c>
      <c r="AF744" s="26"/>
      <c r="AG744" s="26">
        <v>0</v>
      </c>
      <c r="AH744" s="26">
        <v>0</v>
      </c>
      <c r="AI744" s="26">
        <v>0</v>
      </c>
      <c r="AJ744" s="26">
        <v>0</v>
      </c>
      <c r="AK744" s="26">
        <v>0</v>
      </c>
      <c r="AL744" s="26">
        <v>0</v>
      </c>
      <c r="AM744" s="26">
        <v>931809.62099999993</v>
      </c>
      <c r="AN744" s="31">
        <v>31060.3207</v>
      </c>
      <c r="AO744" s="32">
        <v>45863.669545620003</v>
      </c>
      <c r="AP744" s="77">
        <f>+N744-'Приложение №2'!E744</f>
        <v>0</v>
      </c>
      <c r="AQ744" s="1">
        <f>2761318.21-1658423.09</f>
        <v>1102895.1199999999</v>
      </c>
      <c r="AR744" s="1">
        <f t="shared" si="264"/>
        <v>643956.6</v>
      </c>
      <c r="AS744" s="1">
        <f>+(K744*10+L744*20)*12*30-11045.36</f>
        <v>22716834.640000001</v>
      </c>
      <c r="AT744" s="28">
        <f t="shared" si="257"/>
        <v>-22320524.231699999</v>
      </c>
      <c r="AU744" s="28">
        <f>+P744-'[6]Приложение №1'!$P710</f>
        <v>0</v>
      </c>
      <c r="AV744" s="28">
        <f>+Q744-'[6]Приложение №1'!$Q710</f>
        <v>0</v>
      </c>
      <c r="AW744" s="28">
        <f>+R744-'[6]Приложение №1'!$R710</f>
        <v>0</v>
      </c>
      <c r="AX744" s="28">
        <f>+S744-'[6]Приложение №1'!$S710</f>
        <v>0</v>
      </c>
      <c r="AY744" s="28">
        <f>+T744-'[6]Приложение №1'!$T710</f>
        <v>0</v>
      </c>
    </row>
    <row r="745" spans="1:51" x14ac:dyDescent="0.25">
      <c r="A745" s="139">
        <f t="shared" si="262"/>
        <v>726</v>
      </c>
      <c r="B745" s="140">
        <f t="shared" si="263"/>
        <v>264</v>
      </c>
      <c r="C745" s="120" t="s">
        <v>62</v>
      </c>
      <c r="D745" s="120" t="s">
        <v>726</v>
      </c>
      <c r="E745" s="121">
        <v>1981</v>
      </c>
      <c r="F745" s="121">
        <v>2010</v>
      </c>
      <c r="G745" s="121" t="s">
        <v>43</v>
      </c>
      <c r="H745" s="121">
        <v>4</v>
      </c>
      <c r="I745" s="121">
        <v>6</v>
      </c>
      <c r="J745" s="107">
        <v>5677</v>
      </c>
      <c r="K745" s="107">
        <v>4920.8</v>
      </c>
      <c r="L745" s="107">
        <v>0</v>
      </c>
      <c r="M745" s="122">
        <v>222</v>
      </c>
      <c r="N745" s="123">
        <f t="shared" si="265"/>
        <v>1668917.8005000001</v>
      </c>
      <c r="O745" s="107"/>
      <c r="P745" s="108"/>
      <c r="Q745" s="108"/>
      <c r="R745" s="108">
        <f>+AQ745+AR745</f>
        <v>1196439.7000000002</v>
      </c>
      <c r="S745" s="108">
        <f>+'Приложение №2'!E745-'Приложение №1'!R745</f>
        <v>472478.10049999994</v>
      </c>
      <c r="T745" s="108">
        <v>0</v>
      </c>
      <c r="U745" s="108">
        <f t="shared" si="256"/>
        <v>339.15578777841</v>
      </c>
      <c r="V745" s="108">
        <v>1431.2830200640001</v>
      </c>
      <c r="W745" s="135">
        <v>2024</v>
      </c>
      <c r="X745" s="28" t="e">
        <f>+#REF!-'[1]Приложение №1'!$P900</f>
        <v>#REF!</v>
      </c>
      <c r="Z745" s="30">
        <f t="shared" si="259"/>
        <v>2418721.4499999997</v>
      </c>
      <c r="AA745" s="26">
        <v>0</v>
      </c>
      <c r="AB745" s="26">
        <v>0</v>
      </c>
      <c r="AC745" s="26">
        <v>0</v>
      </c>
      <c r="AD745" s="26">
        <v>0</v>
      </c>
      <c r="AE745" s="26">
        <v>1633202.9595693001</v>
      </c>
      <c r="AF745" s="26"/>
      <c r="AG745" s="26">
        <v>0</v>
      </c>
      <c r="AH745" s="26">
        <v>0</v>
      </c>
      <c r="AI745" s="26">
        <v>0</v>
      </c>
      <c r="AJ745" s="26">
        <v>0</v>
      </c>
      <c r="AK745" s="26">
        <v>0</v>
      </c>
      <c r="AL745" s="26">
        <v>0</v>
      </c>
      <c r="AM745" s="26">
        <v>725616.43500000006</v>
      </c>
      <c r="AN745" s="31">
        <v>24187.214500000002</v>
      </c>
      <c r="AO745" s="32">
        <v>35714.840930700004</v>
      </c>
      <c r="AP745" s="77">
        <f>+N745-'Приложение №2'!E745</f>
        <v>0</v>
      </c>
      <c r="AQ745" s="1">
        <f>1887853.74-1193335.64</f>
        <v>694518.10000000009</v>
      </c>
      <c r="AR745" s="1">
        <f t="shared" si="264"/>
        <v>501921.6</v>
      </c>
      <c r="AS745" s="1">
        <f>+(K745*10+L745*20)*12*30-284542.24</f>
        <v>17430337.760000002</v>
      </c>
      <c r="AT745" s="28">
        <f t="shared" si="257"/>
        <v>-16957859.659500003</v>
      </c>
      <c r="AU745" s="28">
        <f>+P745-'[6]Приложение №1'!$P711</f>
        <v>0</v>
      </c>
      <c r="AV745" s="28">
        <f>+Q745-'[6]Приложение №1'!$Q711</f>
        <v>0</v>
      </c>
      <c r="AW745" s="28">
        <f>+R745-'[6]Приложение №1'!$R711</f>
        <v>0</v>
      </c>
      <c r="AX745" s="28">
        <f>+S745-'[6]Приложение №1'!$S711</f>
        <v>0</v>
      </c>
      <c r="AY745" s="28">
        <f>+T745-'[6]Приложение №1'!$T711</f>
        <v>0</v>
      </c>
    </row>
    <row r="746" spans="1:51" x14ac:dyDescent="0.25">
      <c r="A746" s="139">
        <f t="shared" si="262"/>
        <v>727</v>
      </c>
      <c r="B746" s="140">
        <f t="shared" si="263"/>
        <v>265</v>
      </c>
      <c r="C746" s="120" t="s">
        <v>62</v>
      </c>
      <c r="D746" s="120" t="s">
        <v>727</v>
      </c>
      <c r="E746" s="121">
        <v>1977</v>
      </c>
      <c r="F746" s="121">
        <v>2010</v>
      </c>
      <c r="G746" s="121" t="s">
        <v>83</v>
      </c>
      <c r="H746" s="121">
        <v>4</v>
      </c>
      <c r="I746" s="121">
        <v>4</v>
      </c>
      <c r="J746" s="107">
        <v>4061.6</v>
      </c>
      <c r="K746" s="107">
        <v>3500</v>
      </c>
      <c r="L746" s="107">
        <v>0</v>
      </c>
      <c r="M746" s="122">
        <v>135</v>
      </c>
      <c r="N746" s="123">
        <f t="shared" si="265"/>
        <v>1090164.3753000002</v>
      </c>
      <c r="O746" s="107"/>
      <c r="P746" s="108"/>
      <c r="Q746" s="108"/>
      <c r="R746" s="108">
        <f>+'Приложение №2'!E746</f>
        <v>1090164.3753000002</v>
      </c>
      <c r="S746" s="108">
        <f>+'Приложение №2'!E746-'Приложение №1'!R746</f>
        <v>0</v>
      </c>
      <c r="T746" s="108">
        <v>0</v>
      </c>
      <c r="U746" s="108">
        <f t="shared" si="256"/>
        <v>311.47553580000005</v>
      </c>
      <c r="V746" s="108">
        <v>1432.2830200640001</v>
      </c>
      <c r="W746" s="135">
        <v>2024</v>
      </c>
      <c r="X746" s="28" t="e">
        <f>+#REF!-'[1]Приложение №1'!$P546</f>
        <v>#REF!</v>
      </c>
      <c r="Z746" s="30">
        <f t="shared" si="259"/>
        <v>1579948.37</v>
      </c>
      <c r="AA746" s="26">
        <v>0</v>
      </c>
      <c r="AB746" s="26">
        <v>0</v>
      </c>
      <c r="AC746" s="26">
        <v>0</v>
      </c>
      <c r="AD746" s="26">
        <v>0</v>
      </c>
      <c r="AE746" s="26">
        <v>1066834.8576685803</v>
      </c>
      <c r="AF746" s="26"/>
      <c r="AG746" s="26">
        <v>0</v>
      </c>
      <c r="AH746" s="26">
        <v>0</v>
      </c>
      <c r="AI746" s="26">
        <v>0</v>
      </c>
      <c r="AJ746" s="26">
        <v>0</v>
      </c>
      <c r="AK746" s="26">
        <v>0</v>
      </c>
      <c r="AL746" s="26">
        <v>0</v>
      </c>
      <c r="AM746" s="26">
        <v>473984.511</v>
      </c>
      <c r="AN746" s="31">
        <v>15799.483700000001</v>
      </c>
      <c r="AO746" s="32">
        <v>23329.517631420003</v>
      </c>
      <c r="AP746" s="77">
        <f>+N746-'Приложение №2'!E746</f>
        <v>0</v>
      </c>
      <c r="AQ746" s="1">
        <v>1456397.27</v>
      </c>
      <c r="AR746" s="1">
        <f t="shared" si="264"/>
        <v>357000</v>
      </c>
      <c r="AS746" s="1">
        <f t="shared" ref="AS746:AS751" si="266">+(K746*10+L746*20)*12*30</f>
        <v>12600000</v>
      </c>
      <c r="AT746" s="28">
        <f t="shared" si="257"/>
        <v>-12600000</v>
      </c>
      <c r="AU746" s="28">
        <f>+P746-'[6]Приложение №1'!$P712</f>
        <v>0</v>
      </c>
      <c r="AV746" s="28">
        <f>+Q746-'[6]Приложение №1'!$Q712</f>
        <v>0</v>
      </c>
      <c r="AW746" s="28">
        <f>+R746-'[6]Приложение №1'!$R712</f>
        <v>0</v>
      </c>
      <c r="AX746" s="28">
        <f>+S746-'[6]Приложение №1'!$S712</f>
        <v>0</v>
      </c>
      <c r="AY746" s="28">
        <f>+T746-'[6]Приложение №1'!$T712</f>
        <v>0</v>
      </c>
    </row>
    <row r="747" spans="1:51" x14ac:dyDescent="0.25">
      <c r="A747" s="139">
        <f t="shared" si="262"/>
        <v>728</v>
      </c>
      <c r="B747" s="140">
        <f t="shared" si="263"/>
        <v>266</v>
      </c>
      <c r="C747" s="120" t="s">
        <v>62</v>
      </c>
      <c r="D747" s="120" t="s">
        <v>728</v>
      </c>
      <c r="E747" s="121">
        <v>1986</v>
      </c>
      <c r="F747" s="121">
        <v>2010</v>
      </c>
      <c r="G747" s="121" t="s">
        <v>43</v>
      </c>
      <c r="H747" s="121">
        <v>5</v>
      </c>
      <c r="I747" s="121">
        <v>4</v>
      </c>
      <c r="J747" s="107">
        <v>4920.8</v>
      </c>
      <c r="K747" s="107">
        <v>4295.6000000000004</v>
      </c>
      <c r="L747" s="107">
        <v>0</v>
      </c>
      <c r="M747" s="122">
        <v>193</v>
      </c>
      <c r="N747" s="123">
        <f t="shared" si="265"/>
        <v>1458644.1368999998</v>
      </c>
      <c r="O747" s="107"/>
      <c r="P747" s="108"/>
      <c r="Q747" s="108"/>
      <c r="R747" s="108">
        <f>+'Приложение №2'!E747</f>
        <v>1458644.1368999998</v>
      </c>
      <c r="S747" s="108">
        <f>+'Приложение №2'!E747-'Приложение №1'!R747</f>
        <v>0</v>
      </c>
      <c r="T747" s="108">
        <v>0</v>
      </c>
      <c r="U747" s="108">
        <f t="shared" si="256"/>
        <v>339.56703065927917</v>
      </c>
      <c r="V747" s="108">
        <v>1433.2830200640001</v>
      </c>
      <c r="W747" s="135">
        <v>2024</v>
      </c>
      <c r="X747" s="28" t="e">
        <f>+#REF!-'[1]Приложение №1'!$P901</f>
        <v>#REF!</v>
      </c>
      <c r="Z747" s="30">
        <f t="shared" si="259"/>
        <v>2113977.0099999998</v>
      </c>
      <c r="AA747" s="26">
        <v>0</v>
      </c>
      <c r="AB747" s="26">
        <v>0</v>
      </c>
      <c r="AC747" s="26">
        <v>0</v>
      </c>
      <c r="AD747" s="26">
        <v>0</v>
      </c>
      <c r="AE747" s="26">
        <v>1427429.1523703397</v>
      </c>
      <c r="AF747" s="26"/>
      <c r="AG747" s="26">
        <v>0</v>
      </c>
      <c r="AH747" s="26">
        <v>0</v>
      </c>
      <c r="AI747" s="26">
        <v>0</v>
      </c>
      <c r="AJ747" s="26">
        <v>0</v>
      </c>
      <c r="AK747" s="26">
        <v>0</v>
      </c>
      <c r="AL747" s="26">
        <v>0</v>
      </c>
      <c r="AM747" s="26">
        <v>634193.10299999989</v>
      </c>
      <c r="AN747" s="31">
        <v>21139.770099999998</v>
      </c>
      <c r="AO747" s="32">
        <v>31214.98452966</v>
      </c>
      <c r="AP747" s="77">
        <f>+N747-'Приложение №2'!E747</f>
        <v>0</v>
      </c>
      <c r="AQ747" s="1">
        <v>1632118.56</v>
      </c>
      <c r="AR747" s="1">
        <f t="shared" si="264"/>
        <v>438151.2</v>
      </c>
      <c r="AS747" s="1">
        <f t="shared" si="266"/>
        <v>15464160</v>
      </c>
      <c r="AT747" s="28">
        <f t="shared" si="257"/>
        <v>-15464160</v>
      </c>
      <c r="AU747" s="28">
        <f>+P747-'[6]Приложение №1'!$P713</f>
        <v>0</v>
      </c>
      <c r="AV747" s="28">
        <f>+Q747-'[6]Приложение №1'!$Q713</f>
        <v>0</v>
      </c>
      <c r="AW747" s="28">
        <f>+R747-'[6]Приложение №1'!$R713</f>
        <v>0</v>
      </c>
      <c r="AX747" s="28">
        <f>+S747-'[6]Приложение №1'!$S713</f>
        <v>0</v>
      </c>
      <c r="AY747" s="28">
        <f>+T747-'[6]Приложение №1'!$T713</f>
        <v>0</v>
      </c>
    </row>
    <row r="748" spans="1:51" x14ac:dyDescent="0.25">
      <c r="A748" s="139">
        <f t="shared" si="262"/>
        <v>729</v>
      </c>
      <c r="B748" s="140">
        <f t="shared" si="263"/>
        <v>267</v>
      </c>
      <c r="C748" s="120" t="s">
        <v>61</v>
      </c>
      <c r="D748" s="120" t="s">
        <v>729</v>
      </c>
      <c r="E748" s="121">
        <v>1981</v>
      </c>
      <c r="F748" s="121"/>
      <c r="G748" s="121" t="s">
        <v>43</v>
      </c>
      <c r="H748" s="121">
        <v>2</v>
      </c>
      <c r="I748" s="121">
        <v>1</v>
      </c>
      <c r="J748" s="107">
        <v>660</v>
      </c>
      <c r="K748" s="107">
        <v>592.70000000000005</v>
      </c>
      <c r="L748" s="107">
        <v>0</v>
      </c>
      <c r="M748" s="122">
        <v>13</v>
      </c>
      <c r="N748" s="123">
        <f t="shared" si="265"/>
        <v>4258070.3745964803</v>
      </c>
      <c r="O748" s="107"/>
      <c r="P748" s="108">
        <v>1751097.6945964801</v>
      </c>
      <c r="Q748" s="108"/>
      <c r="R748" s="108">
        <f t="shared" ref="R748:R753" si="267">+AQ748+AR748</f>
        <v>373252.68000000005</v>
      </c>
      <c r="S748" s="108">
        <f>+AS748</f>
        <v>2133720</v>
      </c>
      <c r="T748" s="108">
        <v>0</v>
      </c>
      <c r="U748" s="108">
        <f t="shared" si="256"/>
        <v>7184.1916223999997</v>
      </c>
      <c r="V748" s="108">
        <v>1434.2830200640001</v>
      </c>
      <c r="W748" s="135">
        <v>2024</v>
      </c>
      <c r="X748" s="28" t="e">
        <f>+#REF!-'[1]Приложение №1'!$P1732</f>
        <v>#REF!</v>
      </c>
      <c r="Z748" s="30">
        <f t="shared" si="259"/>
        <v>19893961.780000001</v>
      </c>
      <c r="AA748" s="26">
        <v>0</v>
      </c>
      <c r="AB748" s="26">
        <v>0</v>
      </c>
      <c r="AC748" s="26">
        <v>3565270.41384234</v>
      </c>
      <c r="AD748" s="26">
        <v>2303095.9599144002</v>
      </c>
      <c r="AE748" s="26">
        <v>1422513.1652520599</v>
      </c>
      <c r="AF748" s="26"/>
      <c r="AG748" s="26">
        <v>0</v>
      </c>
      <c r="AH748" s="26">
        <v>0</v>
      </c>
      <c r="AI748" s="26">
        <v>0</v>
      </c>
      <c r="AJ748" s="26">
        <v>0</v>
      </c>
      <c r="AK748" s="26">
        <v>0</v>
      </c>
      <c r="AL748" s="26">
        <v>9543182.8357933201</v>
      </c>
      <c r="AM748" s="26">
        <v>2492832.9380000001</v>
      </c>
      <c r="AN748" s="31">
        <v>198939.61780000001</v>
      </c>
      <c r="AO748" s="32">
        <v>368126.84939787997</v>
      </c>
      <c r="AP748" s="77">
        <f>+N748-'Приложение №2'!E748</f>
        <v>0</v>
      </c>
      <c r="AQ748" s="40">
        <v>312797.28000000003</v>
      </c>
      <c r="AR748" s="1">
        <f t="shared" si="264"/>
        <v>60455.4</v>
      </c>
      <c r="AS748" s="1">
        <f t="shared" si="266"/>
        <v>2133720</v>
      </c>
      <c r="AT748" s="28">
        <f t="shared" si="257"/>
        <v>0</v>
      </c>
      <c r="AU748" s="28">
        <f>+P748-'[6]Приложение №1'!$P714</f>
        <v>0</v>
      </c>
      <c r="AV748" s="28">
        <f>+Q748-'[6]Приложение №1'!$Q714</f>
        <v>0</v>
      </c>
      <c r="AW748" s="28">
        <f>+R748-'[6]Приложение №1'!$R714</f>
        <v>0</v>
      </c>
      <c r="AX748" s="28">
        <f>+S748-'[6]Приложение №1'!$S714</f>
        <v>0</v>
      </c>
      <c r="AY748" s="28">
        <f>+T748-'[6]Приложение №1'!$T714</f>
        <v>0</v>
      </c>
    </row>
    <row r="749" spans="1:51" s="34" customFormat="1" x14ac:dyDescent="0.25">
      <c r="A749" s="139">
        <f t="shared" si="262"/>
        <v>730</v>
      </c>
      <c r="B749" s="140">
        <f t="shared" si="263"/>
        <v>268</v>
      </c>
      <c r="C749" s="120" t="s">
        <v>133</v>
      </c>
      <c r="D749" s="120" t="s">
        <v>730</v>
      </c>
      <c r="E749" s="121" t="s">
        <v>108</v>
      </c>
      <c r="F749" s="121" t="s">
        <v>108</v>
      </c>
      <c r="G749" s="121" t="s">
        <v>43</v>
      </c>
      <c r="H749" s="121" t="s">
        <v>104</v>
      </c>
      <c r="I749" s="121" t="s">
        <v>101</v>
      </c>
      <c r="J749" s="107">
        <v>4959.8999999999996</v>
      </c>
      <c r="K749" s="107">
        <v>4332.8999999999996</v>
      </c>
      <c r="L749" s="107">
        <v>85.1</v>
      </c>
      <c r="M749" s="122">
        <v>166</v>
      </c>
      <c r="N749" s="123">
        <f t="shared" si="265"/>
        <v>10942766.959917923</v>
      </c>
      <c r="O749" s="107">
        <v>0</v>
      </c>
      <c r="P749" s="108"/>
      <c r="Q749" s="108">
        <v>0</v>
      </c>
      <c r="R749" s="108">
        <f t="shared" si="267"/>
        <v>2666641.9500000002</v>
      </c>
      <c r="S749" s="108">
        <f>+'Приложение №2'!E749-'Приложение №1'!R749</f>
        <v>8276125.0099179232</v>
      </c>
      <c r="T749" s="108">
        <v>0</v>
      </c>
      <c r="U749" s="108">
        <f t="shared" si="256"/>
        <v>2525.5064644736608</v>
      </c>
      <c r="V749" s="108">
        <v>1435.2830200640001</v>
      </c>
      <c r="W749" s="135">
        <v>2024</v>
      </c>
      <c r="X749" s="34">
        <v>1753600.15</v>
      </c>
      <c r="Y749" s="34">
        <f>+(K749*9.1+L749*18.19)*12</f>
        <v>491728.30799999984</v>
      </c>
      <c r="AA749" s="35">
        <f>+N749-'[5]Приложение № 2'!E681</f>
        <v>-444863.52288207598</v>
      </c>
      <c r="AD749" s="35">
        <f>+N749-'[5]Приложение № 2'!E681</f>
        <v>-444863.52288207598</v>
      </c>
      <c r="AP749" s="77">
        <f>+N749-'Приложение №2'!E749</f>
        <v>0</v>
      </c>
      <c r="AQ749" s="34">
        <v>2207325.75</v>
      </c>
      <c r="AR749" s="1">
        <f t="shared" si="264"/>
        <v>459316.2</v>
      </c>
      <c r="AS749" s="1">
        <f t="shared" si="266"/>
        <v>16211160</v>
      </c>
      <c r="AT749" s="28">
        <f t="shared" si="257"/>
        <v>-7935034.9900820768</v>
      </c>
      <c r="AU749" s="28">
        <f>+P749-'[6]Приложение №1'!$P715</f>
        <v>0</v>
      </c>
      <c r="AV749" s="28">
        <f>+Q749-'[6]Приложение №1'!$Q715</f>
        <v>0</v>
      </c>
      <c r="AW749" s="28">
        <f>+R749-'[6]Приложение №1'!$R715</f>
        <v>0</v>
      </c>
      <c r="AX749" s="28">
        <f>+S749-'[6]Приложение №1'!$S715</f>
        <v>0</v>
      </c>
      <c r="AY749" s="28">
        <f>+T749-'[6]Приложение №1'!$T715</f>
        <v>0</v>
      </c>
    </row>
    <row r="750" spans="1:51" x14ac:dyDescent="0.25">
      <c r="A750" s="139">
        <f t="shared" si="262"/>
        <v>731</v>
      </c>
      <c r="B750" s="140">
        <f t="shared" si="263"/>
        <v>269</v>
      </c>
      <c r="C750" s="120" t="s">
        <v>61</v>
      </c>
      <c r="D750" s="120" t="s">
        <v>715</v>
      </c>
      <c r="E750" s="121">
        <v>1992</v>
      </c>
      <c r="F750" s="121">
        <v>2010</v>
      </c>
      <c r="G750" s="121" t="s">
        <v>43</v>
      </c>
      <c r="H750" s="121">
        <v>2</v>
      </c>
      <c r="I750" s="121">
        <v>2</v>
      </c>
      <c r="J750" s="107">
        <v>1132.5999999999999</v>
      </c>
      <c r="K750" s="107">
        <v>869.3</v>
      </c>
      <c r="L750" s="107">
        <v>263.3</v>
      </c>
      <c r="M750" s="122">
        <v>31</v>
      </c>
      <c r="N750" s="123">
        <f t="shared" si="265"/>
        <v>5037776.7369999997</v>
      </c>
      <c r="O750" s="107"/>
      <c r="P750" s="108">
        <v>1760352.89</v>
      </c>
      <c r="Q750" s="108"/>
      <c r="R750" s="108">
        <f t="shared" si="267"/>
        <v>316207.04435401992</v>
      </c>
      <c r="S750" s="108">
        <f>+'Приложение №2'!E750-'Приложение №1'!P750-R750</f>
        <v>2961216.8026459804</v>
      </c>
      <c r="T750" s="108">
        <v>0</v>
      </c>
      <c r="U750" s="108">
        <f t="shared" si="256"/>
        <v>5795.2107868399862</v>
      </c>
      <c r="V750" s="108">
        <v>1436.2830200640001</v>
      </c>
      <c r="W750" s="135">
        <v>2024</v>
      </c>
      <c r="X750" s="28" t="e">
        <f>+#REF!-'[1]Приложение №1'!$P1734</f>
        <v>#REF!</v>
      </c>
      <c r="Z750" s="30">
        <f>SUM(AA750:AO750)</f>
        <v>5660423.2999999998</v>
      </c>
      <c r="AA750" s="26">
        <v>0</v>
      </c>
      <c r="AB750" s="26">
        <v>0</v>
      </c>
      <c r="AC750" s="26">
        <v>0</v>
      </c>
      <c r="AD750" s="26">
        <v>0</v>
      </c>
      <c r="AE750" s="26">
        <v>0</v>
      </c>
      <c r="AF750" s="26"/>
      <c r="AG750" s="26">
        <v>0</v>
      </c>
      <c r="AH750" s="26">
        <v>0</v>
      </c>
      <c r="AI750" s="26">
        <v>0</v>
      </c>
      <c r="AJ750" s="26">
        <v>0</v>
      </c>
      <c r="AK750" s="26">
        <v>0</v>
      </c>
      <c r="AL750" s="26">
        <v>4929968.3148281993</v>
      </c>
      <c r="AM750" s="26">
        <v>566042.32999999996</v>
      </c>
      <c r="AN750" s="31">
        <v>56604.233</v>
      </c>
      <c r="AO750" s="32">
        <v>107808.4221718</v>
      </c>
      <c r="AP750" s="77">
        <f>+N750-'Приложение №2'!E750</f>
        <v>0</v>
      </c>
      <c r="AQ750" s="28">
        <f>467298.54-R472</f>
        <v>173825.24435401993</v>
      </c>
      <c r="AR750" s="1">
        <f t="shared" si="264"/>
        <v>142381.79999999999</v>
      </c>
      <c r="AS750" s="1">
        <f t="shared" si="266"/>
        <v>5025240</v>
      </c>
      <c r="AT750" s="28">
        <f t="shared" si="257"/>
        <v>-2064023.1973540196</v>
      </c>
      <c r="AU750" s="28">
        <f>+P750-'[6]Приложение №1'!$P716</f>
        <v>0</v>
      </c>
      <c r="AV750" s="28">
        <f>+Q750-'[6]Приложение №1'!$Q716</f>
        <v>0</v>
      </c>
      <c r="AW750" s="28">
        <f>+R750-'[6]Приложение №1'!$R716</f>
        <v>0</v>
      </c>
      <c r="AX750" s="28">
        <f>+S750-'[6]Приложение №1'!$S716</f>
        <v>0</v>
      </c>
      <c r="AY750" s="28">
        <f>+T750-'[6]Приложение №1'!$T716</f>
        <v>0</v>
      </c>
    </row>
    <row r="751" spans="1:51" x14ac:dyDescent="0.25">
      <c r="A751" s="139">
        <f t="shared" si="262"/>
        <v>732</v>
      </c>
      <c r="B751" s="140">
        <f t="shared" si="263"/>
        <v>270</v>
      </c>
      <c r="C751" s="120" t="s">
        <v>61</v>
      </c>
      <c r="D751" s="120" t="s">
        <v>716</v>
      </c>
      <c r="E751" s="121">
        <v>1993</v>
      </c>
      <c r="F751" s="121">
        <v>2009</v>
      </c>
      <c r="G751" s="121" t="s">
        <v>43</v>
      </c>
      <c r="H751" s="121">
        <v>2</v>
      </c>
      <c r="I751" s="121">
        <v>2</v>
      </c>
      <c r="J751" s="107">
        <v>1119.8</v>
      </c>
      <c r="K751" s="107">
        <v>862.9</v>
      </c>
      <c r="L751" s="107">
        <v>256.89999999999998</v>
      </c>
      <c r="M751" s="122">
        <v>33</v>
      </c>
      <c r="N751" s="123">
        <f t="shared" si="265"/>
        <v>4996855.5961000007</v>
      </c>
      <c r="O751" s="107"/>
      <c r="P751" s="108">
        <f>+'Приложение №2'!E751-'Приложение №1'!R751-'Приложение №1'!S751</f>
        <v>0</v>
      </c>
      <c r="Q751" s="108"/>
      <c r="R751" s="108">
        <f t="shared" si="267"/>
        <v>203932.15</v>
      </c>
      <c r="S751" s="108">
        <f>+'Приложение №2'!E751-'Приложение №1'!R751</f>
        <v>4792923.4461000003</v>
      </c>
      <c r="T751" s="108">
        <v>0</v>
      </c>
      <c r="U751" s="108">
        <f t="shared" si="256"/>
        <v>5790.7701890137914</v>
      </c>
      <c r="V751" s="108">
        <v>1437.2830200640001</v>
      </c>
      <c r="W751" s="135">
        <v>2024</v>
      </c>
      <c r="X751" s="28" t="e">
        <f>+#REF!-'[1]Приложение №1'!$P1735</f>
        <v>#REF!</v>
      </c>
      <c r="Z751" s="30">
        <f>SUM(AA751:AO751)</f>
        <v>5614444.4900000002</v>
      </c>
      <c r="AA751" s="26">
        <v>0</v>
      </c>
      <c r="AB751" s="26">
        <v>0</v>
      </c>
      <c r="AC751" s="26">
        <v>0</v>
      </c>
      <c r="AD751" s="26">
        <v>0</v>
      </c>
      <c r="AE751" s="26">
        <v>0</v>
      </c>
      <c r="AF751" s="26"/>
      <c r="AG751" s="26">
        <v>0</v>
      </c>
      <c r="AH751" s="26">
        <v>0</v>
      </c>
      <c r="AI751" s="26">
        <v>0</v>
      </c>
      <c r="AJ751" s="26">
        <v>0</v>
      </c>
      <c r="AK751" s="26">
        <v>0</v>
      </c>
      <c r="AL751" s="26">
        <v>4889922.8863434605</v>
      </c>
      <c r="AM751" s="26">
        <v>561444.44900000002</v>
      </c>
      <c r="AN751" s="31">
        <v>56144.444900000002</v>
      </c>
      <c r="AO751" s="32">
        <v>106932.70975654002</v>
      </c>
      <c r="AP751" s="77">
        <f>+N751-'Приложение №2'!E751</f>
        <v>0</v>
      </c>
      <c r="AQ751" s="28">
        <f>384509.89-R473</f>
        <v>63508.75</v>
      </c>
      <c r="AR751" s="1">
        <f t="shared" si="264"/>
        <v>140423.4</v>
      </c>
      <c r="AS751" s="1">
        <f t="shared" si="266"/>
        <v>4956120</v>
      </c>
      <c r="AT751" s="28">
        <f t="shared" si="257"/>
        <v>-163196.55389999971</v>
      </c>
      <c r="AU751" s="28">
        <f>+P751-'[6]Приложение №1'!$P717</f>
        <v>0</v>
      </c>
      <c r="AV751" s="28">
        <f>+Q751-'[6]Приложение №1'!$Q717</f>
        <v>0</v>
      </c>
      <c r="AW751" s="28">
        <f>+R751-'[6]Приложение №1'!$R717</f>
        <v>0</v>
      </c>
      <c r="AX751" s="28">
        <f>+S751-'[6]Приложение №1'!$S717</f>
        <v>0</v>
      </c>
      <c r="AY751" s="28">
        <f>+T751-'[6]Приложение №1'!$T717</f>
        <v>0</v>
      </c>
    </row>
    <row r="752" spans="1:51" s="34" customFormat="1" x14ac:dyDescent="0.25">
      <c r="A752" s="139">
        <f t="shared" si="262"/>
        <v>733</v>
      </c>
      <c r="B752" s="140">
        <f t="shared" si="263"/>
        <v>271</v>
      </c>
      <c r="C752" s="120" t="s">
        <v>134</v>
      </c>
      <c r="D752" s="120" t="s">
        <v>731</v>
      </c>
      <c r="E752" s="121" t="s">
        <v>135</v>
      </c>
      <c r="F752" s="121" t="s">
        <v>135</v>
      </c>
      <c r="G752" s="121" t="s">
        <v>43</v>
      </c>
      <c r="H752" s="121" t="s">
        <v>95</v>
      </c>
      <c r="I752" s="121" t="s">
        <v>95</v>
      </c>
      <c r="J752" s="107">
        <v>948.7</v>
      </c>
      <c r="K752" s="107">
        <v>864.8</v>
      </c>
      <c r="L752" s="107">
        <v>80.099999999999994</v>
      </c>
      <c r="M752" s="122">
        <v>31</v>
      </c>
      <c r="N752" s="123">
        <f t="shared" si="265"/>
        <v>6815055.1868583523</v>
      </c>
      <c r="O752" s="107">
        <v>0</v>
      </c>
      <c r="P752" s="108">
        <v>3867495.7968583526</v>
      </c>
      <c r="Q752" s="108">
        <v>0</v>
      </c>
      <c r="R752" s="108">
        <f t="shared" si="267"/>
        <v>332408.91000000003</v>
      </c>
      <c r="S752" s="108">
        <f>+AS752</f>
        <v>2601082.8799999999</v>
      </c>
      <c r="T752" s="108">
        <f>+'Приложение №2'!E752-'Приложение №1'!P752-'Приложение №1'!R752-'Приложение №1'!S752</f>
        <v>14067.599999999627</v>
      </c>
      <c r="U752" s="108">
        <f t="shared" si="256"/>
        <v>7880.4985971997603</v>
      </c>
      <c r="V752" s="108">
        <v>1438.2830200640001</v>
      </c>
      <c r="W752" s="135">
        <v>2024</v>
      </c>
      <c r="X752" s="34">
        <v>192543.82</v>
      </c>
      <c r="Y752" s="34">
        <f>+(K752*9.1+L752*18.19)*12</f>
        <v>111920.38799999998</v>
      </c>
      <c r="AA752" s="35">
        <f>+N752-'[5]Приложение № 2'!E684</f>
        <v>-7762482.9806082062</v>
      </c>
      <c r="AD752" s="35">
        <f>+N752-'[5]Приложение № 2'!E684</f>
        <v>-7762482.9806082062</v>
      </c>
      <c r="AP752" s="77">
        <f>+N752-'Приложение №2'!E752</f>
        <v>0</v>
      </c>
      <c r="AQ752" s="34">
        <v>227858.91</v>
      </c>
      <c r="AR752" s="1">
        <f t="shared" si="264"/>
        <v>104550</v>
      </c>
      <c r="AS752" s="1">
        <f>+(K752*10+L752*20)*12*30-1088917.12</f>
        <v>2601082.8799999999</v>
      </c>
      <c r="AT752" s="28">
        <f t="shared" si="257"/>
        <v>0</v>
      </c>
      <c r="AU752" s="28">
        <f>+P752-'[6]Приложение №1'!$P718</f>
        <v>0</v>
      </c>
      <c r="AV752" s="28">
        <f>+Q752-'[6]Приложение №1'!$Q718</f>
        <v>0</v>
      </c>
      <c r="AW752" s="28">
        <f>+R752-'[6]Приложение №1'!$R718</f>
        <v>0</v>
      </c>
      <c r="AX752" s="28">
        <f>+S752-'[6]Приложение №1'!$S718</f>
        <v>0</v>
      </c>
      <c r="AY752" s="28">
        <f>+T752-'[6]Приложение №1'!$T718</f>
        <v>0</v>
      </c>
    </row>
    <row r="753" spans="1:51" x14ac:dyDescent="0.25">
      <c r="A753" s="139">
        <f t="shared" si="262"/>
        <v>734</v>
      </c>
      <c r="B753" s="140">
        <f t="shared" si="263"/>
        <v>272</v>
      </c>
      <c r="C753" s="120" t="s">
        <v>73</v>
      </c>
      <c r="D753" s="120" t="s">
        <v>738</v>
      </c>
      <c r="E753" s="121">
        <v>1976</v>
      </c>
      <c r="F753" s="121">
        <v>1976</v>
      </c>
      <c r="G753" s="121" t="s">
        <v>43</v>
      </c>
      <c r="H753" s="121">
        <v>2</v>
      </c>
      <c r="I753" s="121">
        <v>1</v>
      </c>
      <c r="J753" s="107">
        <v>394</v>
      </c>
      <c r="K753" s="107">
        <v>375.6</v>
      </c>
      <c r="L753" s="107">
        <v>0</v>
      </c>
      <c r="M753" s="122">
        <v>38</v>
      </c>
      <c r="N753" s="123">
        <f t="shared" si="265"/>
        <v>4904397.8896157993</v>
      </c>
      <c r="O753" s="107"/>
      <c r="P753" s="108">
        <f>+'Приложение №2'!E753-'Приложение №1'!R753-'Приложение №1'!S753</f>
        <v>3397803.4296157993</v>
      </c>
      <c r="Q753" s="108"/>
      <c r="R753" s="108">
        <f t="shared" si="267"/>
        <v>154434.46</v>
      </c>
      <c r="S753" s="108">
        <f>+AS753</f>
        <v>1352160</v>
      </c>
      <c r="T753" s="108">
        <f>+'Приложение №2'!E753-'Приложение №1'!P753-'Приложение №1'!R753-'Приложение №1'!S753</f>
        <v>0</v>
      </c>
      <c r="U753" s="108">
        <f t="shared" si="256"/>
        <v>13057.502368519166</v>
      </c>
      <c r="V753" s="108">
        <v>1439.2830200640001</v>
      </c>
      <c r="W753" s="135">
        <v>2024</v>
      </c>
      <c r="X753" s="28" t="e">
        <f>+#REF!-'[1]Приложение №1'!$P1743</f>
        <v>#REF!</v>
      </c>
      <c r="Z753" s="30">
        <f>SUM(AA753:AO753)</f>
        <v>7351295.8599999994</v>
      </c>
      <c r="AA753" s="26">
        <v>735304.27475400001</v>
      </c>
      <c r="AB753" s="26">
        <v>447441.06023399998</v>
      </c>
      <c r="AC753" s="26">
        <v>206096.46766800003</v>
      </c>
      <c r="AD753" s="26">
        <v>0</v>
      </c>
      <c r="AE753" s="26">
        <v>0</v>
      </c>
      <c r="AF753" s="26"/>
      <c r="AG753" s="26">
        <v>69083.30797200001</v>
      </c>
      <c r="AH753" s="26">
        <v>0</v>
      </c>
      <c r="AI753" s="26">
        <v>2116583.6327580004</v>
      </c>
      <c r="AJ753" s="26">
        <v>0</v>
      </c>
      <c r="AK753" s="26">
        <v>1764502.807326</v>
      </c>
      <c r="AL753" s="26">
        <v>1553997.7564439997</v>
      </c>
      <c r="AM753" s="26">
        <v>241340.1</v>
      </c>
      <c r="AN753" s="26">
        <v>66210.3</v>
      </c>
      <c r="AO753" s="32">
        <v>150736.15284400003</v>
      </c>
      <c r="AP753" s="77">
        <f>+N753-'Приложение №2'!E753</f>
        <v>0</v>
      </c>
      <c r="AQ753" s="1">
        <v>116123.26</v>
      </c>
      <c r="AR753" s="1">
        <f t="shared" si="264"/>
        <v>38311.199999999997</v>
      </c>
      <c r="AS753" s="1">
        <f>+(K753*10+L753*20)*12*30</f>
        <v>1352160</v>
      </c>
      <c r="AT753" s="28">
        <f t="shared" si="257"/>
        <v>0</v>
      </c>
      <c r="AU753" s="28">
        <f>+P753-'[6]Приложение №1'!$P719</f>
        <v>0</v>
      </c>
      <c r="AV753" s="28">
        <f>+Q753-'[6]Приложение №1'!$Q719</f>
        <v>0</v>
      </c>
      <c r="AW753" s="28">
        <f>+R753-'[6]Приложение №1'!$R719</f>
        <v>0</v>
      </c>
      <c r="AX753" s="28">
        <f>+S753-'[6]Приложение №1'!$S719</f>
        <v>0</v>
      </c>
      <c r="AY753" s="28">
        <f>+T753-'[6]Приложение №1'!$T719</f>
        <v>0</v>
      </c>
    </row>
    <row r="754" spans="1:51" x14ac:dyDescent="0.25">
      <c r="A754" s="74"/>
      <c r="B754" s="74"/>
      <c r="C754" s="74"/>
      <c r="D754" s="74"/>
      <c r="E754" s="75"/>
      <c r="F754" s="75"/>
      <c r="G754" s="75"/>
      <c r="H754" s="75"/>
      <c r="I754" s="75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5"/>
    </row>
    <row r="755" spans="1:51" x14ac:dyDescent="0.25">
      <c r="A755" s="74"/>
      <c r="B755" s="74"/>
      <c r="C755" s="74"/>
      <c r="D755" s="111"/>
      <c r="E755" s="75"/>
      <c r="F755" s="75"/>
      <c r="G755" s="75"/>
      <c r="H755" s="75"/>
      <c r="I755" s="75"/>
      <c r="J755" s="74"/>
      <c r="K755" s="74"/>
      <c r="L755" s="74"/>
      <c r="M755" s="74"/>
      <c r="N755" s="74"/>
      <c r="O755" s="74"/>
      <c r="P755" s="111"/>
      <c r="Q755" s="111"/>
      <c r="R755" s="74"/>
      <c r="S755" s="74"/>
      <c r="T755" s="74"/>
      <c r="U755" s="74"/>
      <c r="V755" s="74"/>
      <c r="W755" s="75"/>
    </row>
    <row r="756" spans="1:51" x14ac:dyDescent="0.25">
      <c r="A756" s="74"/>
      <c r="B756" s="74"/>
      <c r="C756" s="74"/>
      <c r="D756" s="111"/>
      <c r="E756" s="75"/>
      <c r="F756" s="75"/>
      <c r="G756" s="75"/>
      <c r="H756" s="75"/>
      <c r="I756" s="75"/>
      <c r="J756" s="74"/>
      <c r="K756" s="74"/>
      <c r="L756" s="74"/>
      <c r="M756" s="74"/>
      <c r="N756" s="74"/>
      <c r="O756" s="74"/>
      <c r="P756" s="143"/>
      <c r="Q756" s="74" t="s">
        <v>257</v>
      </c>
      <c r="R756" s="74"/>
      <c r="S756" s="74"/>
      <c r="T756" s="74"/>
      <c r="U756" s="74"/>
      <c r="V756" s="74"/>
      <c r="W756" s="75"/>
    </row>
    <row r="757" spans="1:51" x14ac:dyDescent="0.25">
      <c r="A757" s="74"/>
      <c r="B757" s="74"/>
      <c r="C757" s="74"/>
      <c r="D757" s="74"/>
      <c r="E757" s="75"/>
      <c r="F757" s="75"/>
      <c r="G757" s="75"/>
      <c r="H757" s="75"/>
      <c r="I757" s="75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5"/>
    </row>
    <row r="758" spans="1:51" x14ac:dyDescent="0.25">
      <c r="A758" s="74"/>
      <c r="B758" s="76"/>
      <c r="C758" s="74"/>
      <c r="D758" s="74"/>
      <c r="E758" s="75"/>
      <c r="F758" s="75"/>
      <c r="G758" s="75"/>
      <c r="H758" s="75"/>
      <c r="I758" s="75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5"/>
    </row>
    <row r="759" spans="1:51" x14ac:dyDescent="0.25">
      <c r="A759" s="74"/>
      <c r="B759" s="74"/>
      <c r="C759" s="74"/>
      <c r="D759" s="74"/>
      <c r="E759" s="75"/>
      <c r="F759" s="75"/>
      <c r="G759" s="75"/>
      <c r="H759" s="75"/>
      <c r="I759" s="75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5"/>
    </row>
  </sheetData>
  <autoFilter ref="A12:AS753"/>
  <mergeCells count="33">
    <mergeCell ref="Z9:Z11"/>
    <mergeCell ref="AA9:AO9"/>
    <mergeCell ref="AA10:AG10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F10:F12"/>
    <mergeCell ref="K10:K11"/>
    <mergeCell ref="L10:L11"/>
    <mergeCell ref="N10:N11"/>
    <mergeCell ref="N9:T9"/>
    <mergeCell ref="O10:T10"/>
    <mergeCell ref="V9:V11"/>
    <mergeCell ref="W9:W12"/>
    <mergeCell ref="A6:W6"/>
    <mergeCell ref="A9:A12"/>
    <mergeCell ref="B9:B12"/>
    <mergeCell ref="C9:C12"/>
    <mergeCell ref="D9:D12"/>
    <mergeCell ref="E9:F9"/>
    <mergeCell ref="G9:G12"/>
    <mergeCell ref="H9:H12"/>
    <mergeCell ref="I9:I12"/>
    <mergeCell ref="J9:J11"/>
    <mergeCell ref="K9:L9"/>
    <mergeCell ref="M9:M11"/>
    <mergeCell ref="U9:U11"/>
    <mergeCell ref="E10:E12"/>
  </mergeCells>
  <phoneticPr fontId="17" type="noConversion"/>
  <conditionalFormatting sqref="D511">
    <cfRule type="duplicateValues" dxfId="159" priority="99"/>
  </conditionalFormatting>
  <conditionalFormatting sqref="D572">
    <cfRule type="duplicateValues" dxfId="158" priority="98"/>
  </conditionalFormatting>
  <conditionalFormatting sqref="D623">
    <cfRule type="duplicateValues" dxfId="157" priority="97"/>
  </conditionalFormatting>
  <conditionalFormatting sqref="D699:D706">
    <cfRule type="duplicateValues" dxfId="156" priority="8511"/>
  </conditionalFormatting>
  <conditionalFormatting sqref="D708:D714">
    <cfRule type="duplicateValues" dxfId="155" priority="95"/>
  </conditionalFormatting>
  <conditionalFormatting sqref="D715">
    <cfRule type="duplicateValues" dxfId="154" priority="94"/>
  </conditionalFormatting>
  <conditionalFormatting sqref="D721:D722">
    <cfRule type="duplicateValues" dxfId="153" priority="93"/>
  </conditionalFormatting>
  <conditionalFormatting sqref="D753">
    <cfRule type="duplicateValues" dxfId="152" priority="8548"/>
  </conditionalFormatting>
  <conditionalFormatting sqref="D257">
    <cfRule type="duplicateValues" dxfId="151" priority="92"/>
  </conditionalFormatting>
  <conditionalFormatting sqref="D308">
    <cfRule type="duplicateValues" dxfId="150" priority="90"/>
  </conditionalFormatting>
  <conditionalFormatting sqref="D332">
    <cfRule type="duplicateValues" dxfId="149" priority="89"/>
  </conditionalFormatting>
  <conditionalFormatting sqref="D445">
    <cfRule type="duplicateValues" dxfId="148" priority="88"/>
  </conditionalFormatting>
  <conditionalFormatting sqref="D748:D751 D112 D69 D177 D630 D489 D605 D554 D559 D571 D318:D319 D264 D256 D27 D514 D491:D492 D462 D452:D455 D441:D443 D437 D432 D423 D394:D396 D719:D720 D707 D698 D687:D692 D352:D353 D398:D417 D435 D465 D467 D561 D258:D259 D356 D261">
    <cfRule type="duplicateValues" dxfId="147" priority="8626"/>
  </conditionalFormatting>
  <conditionalFormatting sqref="D312">
    <cfRule type="duplicateValues" dxfId="146" priority="82"/>
  </conditionalFormatting>
  <conditionalFormatting sqref="D736">
    <cfRule type="duplicateValues" dxfId="145" priority="81"/>
  </conditionalFormatting>
  <conditionalFormatting sqref="D737">
    <cfRule type="duplicateValues" dxfId="144" priority="80"/>
  </conditionalFormatting>
  <conditionalFormatting sqref="D734">
    <cfRule type="duplicateValues" dxfId="143" priority="79"/>
  </conditionalFormatting>
  <conditionalFormatting sqref="D558">
    <cfRule type="duplicateValues" dxfId="142" priority="78"/>
  </conditionalFormatting>
  <conditionalFormatting sqref="D560">
    <cfRule type="duplicateValues" dxfId="141" priority="77"/>
  </conditionalFormatting>
  <conditionalFormatting sqref="D752">
    <cfRule type="duplicateValues" dxfId="140" priority="75"/>
  </conditionalFormatting>
  <conditionalFormatting sqref="D213">
    <cfRule type="duplicateValues" dxfId="139" priority="73"/>
  </conditionalFormatting>
  <conditionalFormatting sqref="D266">
    <cfRule type="duplicateValues" dxfId="138" priority="70"/>
  </conditionalFormatting>
  <conditionalFormatting sqref="D270">
    <cfRule type="duplicateValues" dxfId="137" priority="69"/>
  </conditionalFormatting>
  <conditionalFormatting sqref="D66">
    <cfRule type="duplicateValues" dxfId="136" priority="68"/>
  </conditionalFormatting>
  <conditionalFormatting sqref="D106">
    <cfRule type="duplicateValues" dxfId="135" priority="67"/>
  </conditionalFormatting>
  <conditionalFormatting sqref="D331">
    <cfRule type="duplicateValues" dxfId="134" priority="66"/>
  </conditionalFormatting>
  <conditionalFormatting sqref="D136">
    <cfRule type="duplicateValues" dxfId="133" priority="65"/>
  </conditionalFormatting>
  <conditionalFormatting sqref="D138">
    <cfRule type="duplicateValues" dxfId="132" priority="64"/>
  </conditionalFormatting>
  <conditionalFormatting sqref="D384:D385">
    <cfRule type="duplicateValues" dxfId="131" priority="63"/>
  </conditionalFormatting>
  <conditionalFormatting sqref="D393">
    <cfRule type="duplicateValues" dxfId="130" priority="62"/>
  </conditionalFormatting>
  <conditionalFormatting sqref="D439">
    <cfRule type="duplicateValues" dxfId="129" priority="61"/>
  </conditionalFormatting>
  <conditionalFormatting sqref="D444">
    <cfRule type="duplicateValues" dxfId="128" priority="60"/>
  </conditionalFormatting>
  <conditionalFormatting sqref="D450:D451">
    <cfRule type="duplicateValues" dxfId="127" priority="59"/>
  </conditionalFormatting>
  <conditionalFormatting sqref="D470">
    <cfRule type="duplicateValues" dxfId="126" priority="58"/>
  </conditionalFormatting>
  <conditionalFormatting sqref="D471:D473">
    <cfRule type="duplicateValues" dxfId="125" priority="57"/>
  </conditionalFormatting>
  <conditionalFormatting sqref="D474">
    <cfRule type="duplicateValues" dxfId="124" priority="56"/>
  </conditionalFormatting>
  <conditionalFormatting sqref="D475:D476">
    <cfRule type="duplicateValues" dxfId="123" priority="55"/>
  </conditionalFormatting>
  <conditionalFormatting sqref="D207">
    <cfRule type="duplicateValues" dxfId="122" priority="54"/>
  </conditionalFormatting>
  <conditionalFormatting sqref="D229">
    <cfRule type="duplicateValues" dxfId="121" priority="53"/>
  </conditionalFormatting>
  <conditionalFormatting sqref="D231">
    <cfRule type="duplicateValues" dxfId="120" priority="52"/>
  </conditionalFormatting>
  <conditionalFormatting sqref="D234">
    <cfRule type="duplicateValues" dxfId="119" priority="51"/>
  </conditionalFormatting>
  <conditionalFormatting sqref="D275">
    <cfRule type="duplicateValues" dxfId="118" priority="48"/>
  </conditionalFormatting>
  <conditionalFormatting sqref="D277">
    <cfRule type="duplicateValues" dxfId="117" priority="47"/>
  </conditionalFormatting>
  <conditionalFormatting sqref="D292">
    <cfRule type="duplicateValues" dxfId="116" priority="46"/>
  </conditionalFormatting>
  <conditionalFormatting sqref="D307">
    <cfRule type="duplicateValues" dxfId="115" priority="45"/>
  </conditionalFormatting>
  <conditionalFormatting sqref="D311">
    <cfRule type="duplicateValues" dxfId="114" priority="44"/>
  </conditionalFormatting>
  <conditionalFormatting sqref="D329">
    <cfRule type="duplicateValues" dxfId="113" priority="43"/>
  </conditionalFormatting>
  <conditionalFormatting sqref="D335">
    <cfRule type="duplicateValues" dxfId="112" priority="42"/>
  </conditionalFormatting>
  <conditionalFormatting sqref="D347">
    <cfRule type="duplicateValues" dxfId="111" priority="40"/>
  </conditionalFormatting>
  <conditionalFormatting sqref="D386:D387">
    <cfRule type="duplicateValues" dxfId="110" priority="39"/>
  </conditionalFormatting>
  <conditionalFormatting sqref="D434">
    <cfRule type="duplicateValues" dxfId="109" priority="35"/>
  </conditionalFormatting>
  <conditionalFormatting sqref="D478">
    <cfRule type="duplicateValues" dxfId="108" priority="34"/>
  </conditionalFormatting>
  <conditionalFormatting sqref="D169">
    <cfRule type="duplicateValues" dxfId="107" priority="31"/>
  </conditionalFormatting>
  <conditionalFormatting sqref="D173">
    <cfRule type="duplicateValues" dxfId="106" priority="29"/>
  </conditionalFormatting>
  <conditionalFormatting sqref="D274">
    <cfRule type="duplicateValues" dxfId="105" priority="28"/>
  </conditionalFormatting>
  <conditionalFormatting sqref="D294">
    <cfRule type="duplicateValues" dxfId="104" priority="27"/>
  </conditionalFormatting>
  <conditionalFormatting sqref="D300">
    <cfRule type="duplicateValues" dxfId="103" priority="26"/>
  </conditionalFormatting>
  <conditionalFormatting sqref="D310">
    <cfRule type="duplicateValues" dxfId="102" priority="24"/>
  </conditionalFormatting>
  <conditionalFormatting sqref="D323">
    <cfRule type="duplicateValues" dxfId="101" priority="23"/>
  </conditionalFormatting>
  <conditionalFormatting sqref="D342">
    <cfRule type="duplicateValues" dxfId="100" priority="22"/>
  </conditionalFormatting>
  <conditionalFormatting sqref="D364">
    <cfRule type="duplicateValues" dxfId="99" priority="21"/>
  </conditionalFormatting>
  <conditionalFormatting sqref="D479:D480">
    <cfRule type="duplicateValues" dxfId="98" priority="20"/>
  </conditionalFormatting>
  <conditionalFormatting sqref="D175">
    <cfRule type="duplicateValues" dxfId="97" priority="19"/>
  </conditionalFormatting>
  <conditionalFormatting sqref="D272">
    <cfRule type="duplicateValues" dxfId="96" priority="9543"/>
  </conditionalFormatting>
  <conditionalFormatting sqref="D49">
    <cfRule type="duplicateValues" dxfId="95" priority="18"/>
  </conditionalFormatting>
  <conditionalFormatting sqref="D271">
    <cfRule type="duplicateValues" dxfId="94" priority="17"/>
  </conditionalFormatting>
  <conditionalFormatting sqref="D638">
    <cfRule type="duplicateValues" dxfId="93" priority="16"/>
  </conditionalFormatting>
  <conditionalFormatting sqref="D495">
    <cfRule type="duplicateValues" dxfId="92" priority="15"/>
  </conditionalFormatting>
  <conditionalFormatting sqref="D254">
    <cfRule type="duplicateValues" dxfId="91" priority="14"/>
  </conditionalFormatting>
  <conditionalFormatting sqref="D232">
    <cfRule type="duplicateValues" dxfId="90" priority="13"/>
  </conditionalFormatting>
  <conditionalFormatting sqref="D260">
    <cfRule type="duplicateValues" dxfId="89" priority="12"/>
  </conditionalFormatting>
  <conditionalFormatting sqref="D242">
    <cfRule type="duplicateValues" dxfId="88" priority="11"/>
  </conditionalFormatting>
  <conditionalFormatting sqref="D273">
    <cfRule type="duplicateValues" dxfId="87" priority="10"/>
  </conditionalFormatting>
  <conditionalFormatting sqref="D276">
    <cfRule type="duplicateValues" dxfId="86" priority="9"/>
  </conditionalFormatting>
  <conditionalFormatting sqref="D305">
    <cfRule type="duplicateValues" dxfId="85" priority="8"/>
  </conditionalFormatting>
  <conditionalFormatting sqref="D349:D350">
    <cfRule type="duplicateValues" dxfId="84" priority="7"/>
  </conditionalFormatting>
  <conditionalFormatting sqref="D348">
    <cfRule type="duplicateValues" dxfId="83" priority="6"/>
  </conditionalFormatting>
  <conditionalFormatting sqref="D477">
    <cfRule type="duplicateValues" dxfId="82" priority="5"/>
  </conditionalFormatting>
  <conditionalFormatting sqref="D171">
    <cfRule type="duplicateValues" dxfId="81" priority="4"/>
  </conditionalFormatting>
  <conditionalFormatting sqref="D371 D170 D132:D135 D96 D18:D25 D28:D48 D235 D56:D57 D59 D61:D65 D77 D80:D94 D110 D117:D121 D145:D153 D180:D191 D193:D202 D123:D126 D53:D54 D245 D98:D105 D155:D162 D176 D67:D68 D164:D167 D50:D51 D137 D128:D129 D70:D74 D107:D108 D113:D114 D139 D172">
    <cfRule type="duplicateValues" dxfId="80" priority="9585"/>
  </conditionalFormatting>
  <conditionalFormatting sqref="D593">
    <cfRule type="duplicateValues" dxfId="79" priority="3"/>
  </conditionalFormatting>
  <conditionalFormatting sqref="D226">
    <cfRule type="duplicateValues" dxfId="78" priority="9621"/>
  </conditionalFormatting>
  <conditionalFormatting sqref="D390:D392">
    <cfRule type="duplicateValues" dxfId="77" priority="9670"/>
  </conditionalFormatting>
  <conditionalFormatting sqref="D237">
    <cfRule type="duplicateValues" dxfId="76" priority="2"/>
  </conditionalFormatting>
  <conditionalFormatting sqref="D338">
    <cfRule type="duplicateValues" dxfId="75" priority="1"/>
  </conditionalFormatting>
  <pageMargins left="0.39370078740157483" right="0.39370078740157483" top="0.39370078740157483" bottom="0.39370078740157483" header="0.31496062992125984" footer="0.31496062992125984"/>
  <pageSetup paperSize="9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7"/>
  <sheetViews>
    <sheetView showZeros="0" tabSelected="1" view="pageBreakPreview" zoomScale="60" zoomScaleNormal="85" workbookViewId="0">
      <selection activeCell="P31" sqref="P31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58.7109375" style="1" customWidth="1"/>
    <col min="4" max="4" width="78.42578125" style="1" customWidth="1"/>
    <col min="5" max="5" width="20.28515625" style="1" customWidth="1"/>
    <col min="6" max="6" width="18.85546875" style="1" customWidth="1"/>
    <col min="7" max="11" width="16.85546875" style="1" customWidth="1"/>
    <col min="12" max="12" width="18.140625" style="1" customWidth="1"/>
    <col min="13" max="13" width="16.85546875" style="1" customWidth="1"/>
    <col min="14" max="14" width="18.28515625" style="1" customWidth="1"/>
    <col min="15" max="15" width="16.85546875" style="1" customWidth="1"/>
    <col min="16" max="16" width="20.42578125" style="1" customWidth="1"/>
    <col min="17" max="20" width="16.85546875" style="1" customWidth="1"/>
    <col min="21" max="21" width="15.140625" style="1" customWidth="1"/>
    <col min="22" max="16384" width="9.140625" style="1"/>
  </cols>
  <sheetData>
    <row r="1" spans="1:21" ht="15.75" x14ac:dyDescent="0.25">
      <c r="T1" s="92" t="s">
        <v>74</v>
      </c>
    </row>
    <row r="2" spans="1:21" ht="15.75" x14ac:dyDescent="0.25">
      <c r="T2" s="92" t="s">
        <v>239</v>
      </c>
    </row>
    <row r="3" spans="1:21" ht="15.75" x14ac:dyDescent="0.25">
      <c r="T3" s="92" t="s">
        <v>776</v>
      </c>
    </row>
    <row r="6" spans="1:21" s="4" customFormat="1" ht="20.25" x14ac:dyDescent="0.25">
      <c r="A6" s="170" t="s">
        <v>91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7" spans="1:21" s="4" customFormat="1" ht="16.5" x14ac:dyDescent="0.25">
      <c r="A7" s="5"/>
      <c r="B7" s="5"/>
      <c r="C7" s="5"/>
      <c r="D7" s="5"/>
    </row>
    <row r="8" spans="1:21" s="4" customFormat="1" x14ac:dyDescent="0.25">
      <c r="A8" s="7"/>
      <c r="B8" s="7"/>
      <c r="C8" s="7"/>
      <c r="D8" s="7"/>
    </row>
    <row r="9" spans="1:21" s="14" customFormat="1" ht="14.25" customHeight="1" x14ac:dyDescent="0.25">
      <c r="A9" s="171" t="s">
        <v>1</v>
      </c>
      <c r="B9" s="171" t="s">
        <v>1</v>
      </c>
      <c r="C9" s="168" t="s">
        <v>2</v>
      </c>
      <c r="D9" s="168" t="s">
        <v>3</v>
      </c>
      <c r="E9" s="189" t="s">
        <v>15</v>
      </c>
      <c r="F9" s="185" t="s">
        <v>259</v>
      </c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</row>
    <row r="10" spans="1:21" s="14" customFormat="1" ht="14.25" x14ac:dyDescent="0.25">
      <c r="A10" s="172"/>
      <c r="B10" s="172"/>
      <c r="C10" s="169"/>
      <c r="D10" s="169"/>
      <c r="E10" s="190"/>
      <c r="F10" s="192" t="s">
        <v>22</v>
      </c>
      <c r="G10" s="192"/>
      <c r="H10" s="192"/>
      <c r="I10" s="192"/>
      <c r="J10" s="192"/>
      <c r="K10" s="192"/>
      <c r="L10" s="192"/>
      <c r="M10" s="192" t="s">
        <v>80</v>
      </c>
      <c r="N10" s="192" t="s">
        <v>24</v>
      </c>
      <c r="O10" s="192" t="s">
        <v>25</v>
      </c>
      <c r="P10" s="192" t="s">
        <v>232</v>
      </c>
      <c r="Q10" s="192" t="s">
        <v>27</v>
      </c>
      <c r="R10" s="192" t="s">
        <v>260</v>
      </c>
      <c r="S10" s="192" t="s">
        <v>76</v>
      </c>
      <c r="T10" s="192" t="s">
        <v>88</v>
      </c>
    </row>
    <row r="11" spans="1:21" s="14" customFormat="1" ht="202.5" customHeight="1" x14ac:dyDescent="0.25">
      <c r="A11" s="172"/>
      <c r="B11" s="172"/>
      <c r="C11" s="169"/>
      <c r="D11" s="169"/>
      <c r="E11" s="191"/>
      <c r="F11" s="16" t="s">
        <v>33</v>
      </c>
      <c r="G11" s="16" t="s">
        <v>34</v>
      </c>
      <c r="H11" s="16" t="s">
        <v>35</v>
      </c>
      <c r="I11" s="16" t="s">
        <v>36</v>
      </c>
      <c r="J11" s="16" t="s">
        <v>37</v>
      </c>
      <c r="K11" s="16" t="s">
        <v>38</v>
      </c>
      <c r="L11" s="16" t="s">
        <v>23</v>
      </c>
      <c r="M11" s="192"/>
      <c r="N11" s="192"/>
      <c r="O11" s="192"/>
      <c r="P11" s="192"/>
      <c r="Q11" s="192"/>
      <c r="R11" s="192"/>
      <c r="S11" s="192"/>
      <c r="T11" s="192"/>
    </row>
    <row r="12" spans="1:21" s="20" customFormat="1" ht="14.25" x14ac:dyDescent="0.25">
      <c r="A12" s="194"/>
      <c r="B12" s="194"/>
      <c r="C12" s="193"/>
      <c r="D12" s="193"/>
      <c r="E12" s="16" t="s">
        <v>41</v>
      </c>
      <c r="F12" s="16" t="s">
        <v>41</v>
      </c>
      <c r="G12" s="16" t="s">
        <v>41</v>
      </c>
      <c r="H12" s="16" t="s">
        <v>41</v>
      </c>
      <c r="I12" s="16" t="s">
        <v>41</v>
      </c>
      <c r="J12" s="16" t="s">
        <v>41</v>
      </c>
      <c r="K12" s="16" t="s">
        <v>41</v>
      </c>
      <c r="L12" s="16" t="s">
        <v>41</v>
      </c>
      <c r="M12" s="16" t="s">
        <v>41</v>
      </c>
      <c r="N12" s="16" t="s">
        <v>41</v>
      </c>
      <c r="O12" s="16" t="s">
        <v>41</v>
      </c>
      <c r="P12" s="16" t="s">
        <v>41</v>
      </c>
      <c r="Q12" s="16" t="s">
        <v>41</v>
      </c>
      <c r="R12" s="16" t="s">
        <v>41</v>
      </c>
      <c r="S12" s="16" t="s">
        <v>41</v>
      </c>
      <c r="T12" s="16" t="s">
        <v>41</v>
      </c>
    </row>
    <row r="13" spans="1:21" s="48" customFormat="1" ht="14.25" x14ac:dyDescent="0.25">
      <c r="A13" s="44"/>
      <c r="B13" s="44"/>
      <c r="C13" s="45"/>
      <c r="D13" s="45" t="s">
        <v>256</v>
      </c>
      <c r="E13" s="46">
        <f t="shared" ref="E13:U13" si="0">+E14+E206+E481</f>
        <v>8616420224.0726109</v>
      </c>
      <c r="F13" s="46">
        <f t="shared" si="0"/>
        <v>1608026484.9599824</v>
      </c>
      <c r="G13" s="46">
        <f t="shared" si="0"/>
        <v>489589380.84136838</v>
      </c>
      <c r="H13" s="46">
        <f t="shared" si="0"/>
        <v>637238097.0118258</v>
      </c>
      <c r="I13" s="46">
        <f t="shared" si="0"/>
        <v>391167284.1207332</v>
      </c>
      <c r="J13" s="46">
        <f t="shared" si="0"/>
        <v>110513714.84525424</v>
      </c>
      <c r="K13" s="46">
        <f t="shared" si="0"/>
        <v>0</v>
      </c>
      <c r="L13" s="46">
        <f t="shared" si="0"/>
        <v>48708346.536275491</v>
      </c>
      <c r="M13" s="46">
        <f t="shared" si="0"/>
        <v>317574860.28346777</v>
      </c>
      <c r="N13" s="46">
        <f t="shared" si="0"/>
        <v>1538518913.3658881</v>
      </c>
      <c r="O13" s="46">
        <f t="shared" si="0"/>
        <v>246411397.50410402</v>
      </c>
      <c r="P13" s="46">
        <f t="shared" si="0"/>
        <v>1786544288.7234602</v>
      </c>
      <c r="Q13" s="46">
        <f t="shared" si="0"/>
        <v>877669606.00882936</v>
      </c>
      <c r="R13" s="46">
        <f t="shared" si="0"/>
        <v>166233706.89995679</v>
      </c>
      <c r="S13" s="46">
        <f t="shared" si="0"/>
        <v>14557029.277021091</v>
      </c>
      <c r="T13" s="46">
        <f t="shared" si="0"/>
        <v>231810987.05444357</v>
      </c>
      <c r="U13" s="47">
        <f t="shared" si="0"/>
        <v>2767</v>
      </c>
    </row>
    <row r="14" spans="1:21" s="52" customFormat="1" x14ac:dyDescent="0.25">
      <c r="A14" s="49"/>
      <c r="B14" s="49"/>
      <c r="C14" s="49"/>
      <c r="D14" s="49" t="s">
        <v>90</v>
      </c>
      <c r="E14" s="50">
        <f>SUM(F14:T14)+E15+E16</f>
        <v>1912323088.5757678</v>
      </c>
      <c r="F14" s="50">
        <f>+F15+F17</f>
        <v>262840411.04999998</v>
      </c>
      <c r="G14" s="50">
        <f t="shared" ref="G14:T14" si="1">+G15+G17</f>
        <v>92359789.639999971</v>
      </c>
      <c r="H14" s="50">
        <f t="shared" si="1"/>
        <v>90827315.220000029</v>
      </c>
      <c r="I14" s="50">
        <f t="shared" si="1"/>
        <v>101178178.71000002</v>
      </c>
      <c r="J14" s="50">
        <f t="shared" si="1"/>
        <v>20726332.382261999</v>
      </c>
      <c r="K14" s="50">
        <f t="shared" si="1"/>
        <v>0</v>
      </c>
      <c r="L14" s="50">
        <f t="shared" si="1"/>
        <v>0</v>
      </c>
      <c r="M14" s="50">
        <f t="shared" si="1"/>
        <v>28694966.400000002</v>
      </c>
      <c r="N14" s="50">
        <f t="shared" si="1"/>
        <v>417243389.46806598</v>
      </c>
      <c r="O14" s="50">
        <f t="shared" si="1"/>
        <v>79372152.859999985</v>
      </c>
      <c r="P14" s="50">
        <f t="shared" si="1"/>
        <v>386032575.02000004</v>
      </c>
      <c r="Q14" s="50">
        <f t="shared" si="1"/>
        <v>167864674.33939597</v>
      </c>
      <c r="R14" s="50">
        <f t="shared" si="1"/>
        <v>44622520.010968477</v>
      </c>
      <c r="S14" s="50">
        <f t="shared" si="1"/>
        <v>3686982.5281604878</v>
      </c>
      <c r="T14" s="50">
        <f t="shared" si="1"/>
        <v>65017674.306915104</v>
      </c>
      <c r="U14" s="51">
        <f>SUM(U18:U477)</f>
        <v>1504</v>
      </c>
    </row>
    <row r="15" spans="1:21" s="52" customFormat="1" x14ac:dyDescent="0.25">
      <c r="A15" s="95"/>
      <c r="B15" s="49"/>
      <c r="C15" s="49"/>
      <c r="D15" s="49" t="s">
        <v>234</v>
      </c>
      <c r="E15" s="50">
        <v>147308685.03999999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96"/>
      <c r="U15" s="97"/>
    </row>
    <row r="16" spans="1:21" s="52" customFormat="1" x14ac:dyDescent="0.25">
      <c r="A16" s="95"/>
      <c r="B16" s="49"/>
      <c r="C16" s="49"/>
      <c r="D16" s="49" t="s">
        <v>258</v>
      </c>
      <c r="E16" s="50">
        <v>4547441.6000000006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96"/>
      <c r="U16" s="97"/>
    </row>
    <row r="17" spans="1:22" s="52" customFormat="1" x14ac:dyDescent="0.25">
      <c r="A17" s="95"/>
      <c r="B17" s="49"/>
      <c r="C17" s="49"/>
      <c r="D17" s="49"/>
      <c r="E17" s="50">
        <f>SUM(E18:E205)</f>
        <v>1760466961.9357684</v>
      </c>
      <c r="F17" s="50">
        <f t="shared" ref="F17:T17" si="2">SUM(F18:F205)</f>
        <v>262840411.04999998</v>
      </c>
      <c r="G17" s="50">
        <f t="shared" si="2"/>
        <v>92359789.639999971</v>
      </c>
      <c r="H17" s="50">
        <f t="shared" si="2"/>
        <v>90827315.220000029</v>
      </c>
      <c r="I17" s="50">
        <f t="shared" si="2"/>
        <v>101178178.71000002</v>
      </c>
      <c r="J17" s="50">
        <f t="shared" si="2"/>
        <v>20726332.382261999</v>
      </c>
      <c r="K17" s="50">
        <f t="shared" si="2"/>
        <v>0</v>
      </c>
      <c r="L17" s="50">
        <f t="shared" si="2"/>
        <v>0</v>
      </c>
      <c r="M17" s="50">
        <f t="shared" si="2"/>
        <v>28694966.400000002</v>
      </c>
      <c r="N17" s="50">
        <f t="shared" si="2"/>
        <v>417243389.46806598</v>
      </c>
      <c r="O17" s="50">
        <f t="shared" si="2"/>
        <v>79372152.859999985</v>
      </c>
      <c r="P17" s="50">
        <f t="shared" si="2"/>
        <v>386032575.02000004</v>
      </c>
      <c r="Q17" s="50">
        <f t="shared" si="2"/>
        <v>167864674.33939597</v>
      </c>
      <c r="R17" s="50">
        <f t="shared" si="2"/>
        <v>44622520.010968477</v>
      </c>
      <c r="S17" s="50">
        <f t="shared" si="2"/>
        <v>3686982.5281604878</v>
      </c>
      <c r="T17" s="50">
        <f t="shared" si="2"/>
        <v>65017674.306915104</v>
      </c>
      <c r="U17" s="97"/>
    </row>
    <row r="18" spans="1:22" x14ac:dyDescent="0.25">
      <c r="A18" s="102">
        <v>1</v>
      </c>
      <c r="B18" s="101">
        <v>1</v>
      </c>
      <c r="C18" s="73" t="s">
        <v>49</v>
      </c>
      <c r="D18" s="120" t="s">
        <v>261</v>
      </c>
      <c r="E18" s="123">
        <f t="shared" ref="E18:E49" si="3">SUBTOTAL(9,F18:T18)</f>
        <v>35883420.902660385</v>
      </c>
      <c r="F18" s="107">
        <v>11937105.199999999</v>
      </c>
      <c r="G18" s="107">
        <v>7031659.7400000002</v>
      </c>
      <c r="H18" s="107"/>
      <c r="I18" s="107">
        <v>2917316.85</v>
      </c>
      <c r="J18" s="107">
        <v>0</v>
      </c>
      <c r="K18" s="107"/>
      <c r="L18" s="107"/>
      <c r="M18" s="107">
        <v>0</v>
      </c>
      <c r="N18" s="107">
        <v>4693934.4000000004</v>
      </c>
      <c r="O18" s="107">
        <v>8467593.2400000002</v>
      </c>
      <c r="P18" s="107">
        <v>0</v>
      </c>
      <c r="Q18" s="107">
        <v>0</v>
      </c>
      <c r="R18" s="107"/>
      <c r="S18" s="108"/>
      <c r="T18" s="145">
        <v>835811.47266038705</v>
      </c>
      <c r="U18" s="23">
        <f t="shared" ref="U18:U49" si="4">COUNTIF(F18:Q18,"&gt;0")</f>
        <v>5</v>
      </c>
    </row>
    <row r="19" spans="1:22" x14ac:dyDescent="0.25">
      <c r="A19" s="102">
        <f t="shared" ref="A19:A50" si="5">+A18+1</f>
        <v>2</v>
      </c>
      <c r="B19" s="101">
        <f t="shared" ref="B19:B50" si="6">+B18+1</f>
        <v>2</v>
      </c>
      <c r="C19" s="73" t="s">
        <v>49</v>
      </c>
      <c r="D19" s="120" t="s">
        <v>262</v>
      </c>
      <c r="E19" s="123">
        <f t="shared" si="3"/>
        <v>34138401.5</v>
      </c>
      <c r="F19" s="107">
        <v>10136488.119999999</v>
      </c>
      <c r="G19" s="107">
        <v>6838744.3399999999</v>
      </c>
      <c r="H19" s="107"/>
      <c r="I19" s="107">
        <v>2920060.1</v>
      </c>
      <c r="J19" s="107">
        <v>0</v>
      </c>
      <c r="K19" s="107"/>
      <c r="L19" s="107"/>
      <c r="M19" s="107">
        <v>0</v>
      </c>
      <c r="N19" s="107">
        <v>4839492</v>
      </c>
      <c r="O19" s="107">
        <v>8471863.8000000007</v>
      </c>
      <c r="P19" s="107">
        <v>0</v>
      </c>
      <c r="Q19" s="107">
        <v>0</v>
      </c>
      <c r="R19" s="107"/>
      <c r="S19" s="108"/>
      <c r="T19" s="145">
        <v>931753.14</v>
      </c>
      <c r="U19" s="23">
        <f t="shared" si="4"/>
        <v>5</v>
      </c>
    </row>
    <row r="20" spans="1:22" x14ac:dyDescent="0.25">
      <c r="A20" s="102">
        <f t="shared" si="5"/>
        <v>3</v>
      </c>
      <c r="B20" s="101">
        <f t="shared" si="6"/>
        <v>3</v>
      </c>
      <c r="C20" s="73" t="s">
        <v>49</v>
      </c>
      <c r="D20" s="120" t="s">
        <v>263</v>
      </c>
      <c r="E20" s="123">
        <f t="shared" si="3"/>
        <v>21804481.706755415</v>
      </c>
      <c r="F20" s="107">
        <v>8693551.2400000002</v>
      </c>
      <c r="G20" s="107">
        <v>2539728.9700000002</v>
      </c>
      <c r="H20" s="107"/>
      <c r="I20" s="107">
        <v>1744090.12</v>
      </c>
      <c r="J20" s="107">
        <v>0</v>
      </c>
      <c r="K20" s="107"/>
      <c r="L20" s="107"/>
      <c r="M20" s="107">
        <v>0</v>
      </c>
      <c r="N20" s="107">
        <v>2720365.2</v>
      </c>
      <c r="O20" s="107">
        <v>5773109.29</v>
      </c>
      <c r="P20" s="107">
        <v>0</v>
      </c>
      <c r="Q20" s="107">
        <v>0</v>
      </c>
      <c r="R20" s="107"/>
      <c r="S20" s="108"/>
      <c r="T20" s="145">
        <v>333636.88675541501</v>
      </c>
      <c r="U20" s="23">
        <f t="shared" si="4"/>
        <v>5</v>
      </c>
      <c r="V20" s="1" t="s">
        <v>146</v>
      </c>
    </row>
    <row r="21" spans="1:22" x14ac:dyDescent="0.25">
      <c r="A21" s="102">
        <f t="shared" si="5"/>
        <v>4</v>
      </c>
      <c r="B21" s="101">
        <f t="shared" si="6"/>
        <v>4</v>
      </c>
      <c r="C21" s="73" t="s">
        <v>70</v>
      </c>
      <c r="D21" s="120" t="s">
        <v>265</v>
      </c>
      <c r="E21" s="123">
        <f t="shared" si="3"/>
        <v>6683521.8589600008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/>
      <c r="L21" s="107"/>
      <c r="M21" s="107">
        <v>0</v>
      </c>
      <c r="N21" s="107">
        <v>6340797.9400000004</v>
      </c>
      <c r="O21" s="107">
        <v>0</v>
      </c>
      <c r="P21" s="107">
        <v>0</v>
      </c>
      <c r="Q21" s="107">
        <v>0</v>
      </c>
      <c r="R21" s="107"/>
      <c r="S21" s="108"/>
      <c r="T21" s="145">
        <v>342723.91895999998</v>
      </c>
      <c r="U21" s="23">
        <f t="shared" si="4"/>
        <v>1</v>
      </c>
    </row>
    <row r="22" spans="1:22" x14ac:dyDescent="0.25">
      <c r="A22" s="102">
        <f t="shared" si="5"/>
        <v>5</v>
      </c>
      <c r="B22" s="101">
        <f t="shared" si="6"/>
        <v>5</v>
      </c>
      <c r="C22" s="73" t="s">
        <v>70</v>
      </c>
      <c r="D22" s="120" t="s">
        <v>266</v>
      </c>
      <c r="E22" s="123">
        <f t="shared" si="3"/>
        <v>1380495.8153303184</v>
      </c>
      <c r="F22" s="107">
        <v>1272491.3999999999</v>
      </c>
      <c r="G22" s="107">
        <v>0</v>
      </c>
      <c r="H22" s="107">
        <v>0</v>
      </c>
      <c r="I22" s="107">
        <v>0</v>
      </c>
      <c r="J22" s="107">
        <v>0</v>
      </c>
      <c r="K22" s="107"/>
      <c r="L22" s="107"/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/>
      <c r="S22" s="108"/>
      <c r="T22" s="145">
        <v>108004.41533031844</v>
      </c>
      <c r="U22" s="23">
        <f t="shared" si="4"/>
        <v>1</v>
      </c>
    </row>
    <row r="23" spans="1:22" x14ac:dyDescent="0.25">
      <c r="A23" s="102">
        <f t="shared" si="5"/>
        <v>6</v>
      </c>
      <c r="B23" s="101">
        <f t="shared" si="6"/>
        <v>6</v>
      </c>
      <c r="C23" s="73" t="s">
        <v>70</v>
      </c>
      <c r="D23" s="120" t="s">
        <v>267</v>
      </c>
      <c r="E23" s="123">
        <f t="shared" si="3"/>
        <v>2472986.52</v>
      </c>
      <c r="F23" s="107">
        <v>2428165.69</v>
      </c>
      <c r="G23" s="107">
        <v>0</v>
      </c>
      <c r="H23" s="107">
        <v>0</v>
      </c>
      <c r="I23" s="107">
        <v>0</v>
      </c>
      <c r="J23" s="107">
        <v>0</v>
      </c>
      <c r="K23" s="107"/>
      <c r="L23" s="107"/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/>
      <c r="S23" s="108"/>
      <c r="T23" s="145">
        <v>44820.83</v>
      </c>
      <c r="U23" s="23">
        <f t="shared" si="4"/>
        <v>1</v>
      </c>
    </row>
    <row r="24" spans="1:22" x14ac:dyDescent="0.25">
      <c r="A24" s="102">
        <f t="shared" si="5"/>
        <v>7</v>
      </c>
      <c r="B24" s="101">
        <f t="shared" si="6"/>
        <v>7</v>
      </c>
      <c r="C24" s="73" t="s">
        <v>50</v>
      </c>
      <c r="D24" s="120" t="s">
        <v>269</v>
      </c>
      <c r="E24" s="123">
        <f t="shared" si="3"/>
        <v>113078.26467698808</v>
      </c>
      <c r="F24" s="107">
        <v>0</v>
      </c>
      <c r="G24" s="107">
        <v>0</v>
      </c>
      <c r="H24" s="107"/>
      <c r="I24" s="107">
        <v>104364.26</v>
      </c>
      <c r="J24" s="107">
        <v>0</v>
      </c>
      <c r="K24" s="107"/>
      <c r="L24" s="107"/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/>
      <c r="S24" s="108"/>
      <c r="T24" s="145">
        <v>8714.0046769880846</v>
      </c>
      <c r="U24" s="23">
        <f t="shared" si="4"/>
        <v>1</v>
      </c>
    </row>
    <row r="25" spans="1:22" x14ac:dyDescent="0.25">
      <c r="A25" s="102">
        <f t="shared" si="5"/>
        <v>8</v>
      </c>
      <c r="B25" s="101">
        <f t="shared" si="6"/>
        <v>8</v>
      </c>
      <c r="C25" s="73" t="s">
        <v>50</v>
      </c>
      <c r="D25" s="120" t="s">
        <v>270</v>
      </c>
      <c r="E25" s="123">
        <f t="shared" si="3"/>
        <v>5366313.5354361599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/>
      <c r="L25" s="107"/>
      <c r="M25" s="107">
        <v>0</v>
      </c>
      <c r="N25" s="107">
        <v>0</v>
      </c>
      <c r="O25" s="107">
        <v>5195773.5</v>
      </c>
      <c r="P25" s="107"/>
      <c r="Q25" s="107"/>
      <c r="R25" s="107"/>
      <c r="S25" s="108"/>
      <c r="T25" s="145">
        <v>170540.03543616005</v>
      </c>
      <c r="U25" s="23">
        <f t="shared" si="4"/>
        <v>1</v>
      </c>
    </row>
    <row r="26" spans="1:22" x14ac:dyDescent="0.25">
      <c r="A26" s="102">
        <f t="shared" si="5"/>
        <v>9</v>
      </c>
      <c r="B26" s="101">
        <f t="shared" si="6"/>
        <v>9</v>
      </c>
      <c r="C26" s="73" t="s">
        <v>50</v>
      </c>
      <c r="D26" s="120" t="s">
        <v>271</v>
      </c>
      <c r="E26" s="123">
        <f t="shared" si="3"/>
        <v>3697130.3492353396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/>
      <c r="L26" s="107"/>
      <c r="M26" s="107">
        <v>0</v>
      </c>
      <c r="N26" s="107">
        <v>0</v>
      </c>
      <c r="O26" s="107">
        <v>2388753.41</v>
      </c>
      <c r="P26" s="107"/>
      <c r="Q26" s="107">
        <v>815005.58</v>
      </c>
      <c r="R26" s="107">
        <v>392917.04065692797</v>
      </c>
      <c r="S26" s="108">
        <v>18562.626065692799</v>
      </c>
      <c r="T26" s="145">
        <v>81891.69251271851</v>
      </c>
      <c r="U26" s="23">
        <f t="shared" si="4"/>
        <v>2</v>
      </c>
      <c r="V26" s="1" t="s">
        <v>148</v>
      </c>
    </row>
    <row r="27" spans="1:22" x14ac:dyDescent="0.25">
      <c r="A27" s="102">
        <f t="shared" si="5"/>
        <v>10</v>
      </c>
      <c r="B27" s="101">
        <f t="shared" si="6"/>
        <v>10</v>
      </c>
      <c r="C27" s="73" t="s">
        <v>81</v>
      </c>
      <c r="D27" s="120" t="s">
        <v>276</v>
      </c>
      <c r="E27" s="123">
        <f t="shared" si="3"/>
        <v>3712081.5291589973</v>
      </c>
      <c r="F27" s="107"/>
      <c r="G27" s="107"/>
      <c r="H27" s="107">
        <v>878254.94</v>
      </c>
      <c r="I27" s="107"/>
      <c r="J27" s="107">
        <v>0</v>
      </c>
      <c r="K27" s="107"/>
      <c r="L27" s="107"/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f>2191683.42279663-27761</f>
        <v>2163922.4227966298</v>
      </c>
      <c r="S27" s="108">
        <v>229848.71147637241</v>
      </c>
      <c r="T27" s="145">
        <v>440055.45488599484</v>
      </c>
      <c r="U27" s="23">
        <f t="shared" si="4"/>
        <v>1</v>
      </c>
    </row>
    <row r="28" spans="1:22" x14ac:dyDescent="0.25">
      <c r="A28" s="102">
        <f t="shared" si="5"/>
        <v>11</v>
      </c>
      <c r="B28" s="101">
        <f t="shared" si="6"/>
        <v>11</v>
      </c>
      <c r="C28" s="73" t="s">
        <v>81</v>
      </c>
      <c r="D28" s="120" t="s">
        <v>277</v>
      </c>
      <c r="E28" s="123">
        <f t="shared" si="3"/>
        <v>6156349.6058218479</v>
      </c>
      <c r="F28" s="107">
        <v>2699032.56</v>
      </c>
      <c r="G28" s="107">
        <v>2261633.31</v>
      </c>
      <c r="H28" s="107"/>
      <c r="I28" s="107">
        <v>818058.15</v>
      </c>
      <c r="J28" s="107">
        <v>0</v>
      </c>
      <c r="K28" s="107"/>
      <c r="L28" s="107"/>
      <c r="M28" s="107">
        <v>0</v>
      </c>
      <c r="N28" s="107"/>
      <c r="O28" s="107">
        <v>0</v>
      </c>
      <c r="P28" s="107">
        <v>0</v>
      </c>
      <c r="Q28" s="107">
        <v>0</v>
      </c>
      <c r="R28" s="107"/>
      <c r="S28" s="108"/>
      <c r="T28" s="145">
        <v>377625.58582184697</v>
      </c>
      <c r="U28" s="23">
        <f t="shared" si="4"/>
        <v>3</v>
      </c>
    </row>
    <row r="29" spans="1:22" x14ac:dyDescent="0.25">
      <c r="A29" s="102">
        <f t="shared" si="5"/>
        <v>12</v>
      </c>
      <c r="B29" s="101">
        <f t="shared" si="6"/>
        <v>12</v>
      </c>
      <c r="C29" s="73" t="s">
        <v>81</v>
      </c>
      <c r="D29" s="120" t="s">
        <v>278</v>
      </c>
      <c r="E29" s="123">
        <f t="shared" si="3"/>
        <v>13036215.770000001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/>
      <c r="L29" s="107"/>
      <c r="M29" s="107">
        <v>0</v>
      </c>
      <c r="N29" s="155">
        <v>2807713.83</v>
      </c>
      <c r="O29" s="155">
        <v>0</v>
      </c>
      <c r="P29" s="155">
        <v>9577950</v>
      </c>
      <c r="Q29" s="155">
        <v>0</v>
      </c>
      <c r="R29" s="155">
        <v>377498.73</v>
      </c>
      <c r="S29" s="110">
        <v>8000</v>
      </c>
      <c r="T29" s="156">
        <v>265053.21000000002</v>
      </c>
      <c r="U29" s="23">
        <f t="shared" si="4"/>
        <v>2</v>
      </c>
    </row>
    <row r="30" spans="1:22" x14ac:dyDescent="0.25">
      <c r="A30" s="102">
        <f t="shared" si="5"/>
        <v>13</v>
      </c>
      <c r="B30" s="101">
        <f t="shared" si="6"/>
        <v>13</v>
      </c>
      <c r="C30" s="73" t="s">
        <v>81</v>
      </c>
      <c r="D30" s="120" t="s">
        <v>279</v>
      </c>
      <c r="E30" s="123">
        <f t="shared" si="3"/>
        <v>947792.52460360434</v>
      </c>
      <c r="F30" s="107"/>
      <c r="G30" s="107"/>
      <c r="H30" s="107"/>
      <c r="I30" s="107">
        <v>856822.68</v>
      </c>
      <c r="J30" s="107">
        <v>0</v>
      </c>
      <c r="K30" s="107"/>
      <c r="L30" s="107"/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/>
      <c r="S30" s="108"/>
      <c r="T30" s="145">
        <v>90969.844603604302</v>
      </c>
      <c r="U30" s="23">
        <f t="shared" si="4"/>
        <v>1</v>
      </c>
    </row>
    <row r="31" spans="1:22" x14ac:dyDescent="0.25">
      <c r="A31" s="102">
        <f t="shared" si="5"/>
        <v>14</v>
      </c>
      <c r="B31" s="101">
        <f t="shared" si="6"/>
        <v>14</v>
      </c>
      <c r="C31" s="73" t="s">
        <v>81</v>
      </c>
      <c r="D31" s="120" t="s">
        <v>280</v>
      </c>
      <c r="E31" s="123">
        <f t="shared" si="3"/>
        <v>3204810.5757265971</v>
      </c>
      <c r="F31" s="107"/>
      <c r="G31" s="107">
        <v>1900545.16</v>
      </c>
      <c r="H31" s="107"/>
      <c r="I31" s="107">
        <v>1184190.3999999999</v>
      </c>
      <c r="J31" s="107">
        <v>0</v>
      </c>
      <c r="K31" s="107"/>
      <c r="L31" s="107"/>
      <c r="M31" s="107">
        <v>0</v>
      </c>
      <c r="N31" s="107">
        <v>0</v>
      </c>
      <c r="O31" s="107"/>
      <c r="P31" s="107">
        <v>0</v>
      </c>
      <c r="Q31" s="107">
        <v>0</v>
      </c>
      <c r="R31" s="107"/>
      <c r="S31" s="108"/>
      <c r="T31" s="145">
        <v>120075.0157265975</v>
      </c>
      <c r="U31" s="23">
        <f t="shared" si="4"/>
        <v>2</v>
      </c>
    </row>
    <row r="32" spans="1:22" x14ac:dyDescent="0.25">
      <c r="A32" s="102">
        <f t="shared" si="5"/>
        <v>15</v>
      </c>
      <c r="B32" s="101">
        <f t="shared" si="6"/>
        <v>15</v>
      </c>
      <c r="C32" s="73" t="s">
        <v>81</v>
      </c>
      <c r="D32" s="120" t="s">
        <v>281</v>
      </c>
      <c r="E32" s="123">
        <f t="shared" si="3"/>
        <v>7091508.1283725407</v>
      </c>
      <c r="F32" s="107">
        <v>2005222.15</v>
      </c>
      <c r="G32" s="107"/>
      <c r="H32" s="107">
        <v>0</v>
      </c>
      <c r="I32" s="107"/>
      <c r="J32" s="107">
        <v>0</v>
      </c>
      <c r="K32" s="107"/>
      <c r="L32" s="107"/>
      <c r="M32" s="107">
        <v>0</v>
      </c>
      <c r="N32" s="107">
        <v>0</v>
      </c>
      <c r="O32" s="107">
        <v>4791041.3099999996</v>
      </c>
      <c r="P32" s="107"/>
      <c r="Q32" s="107">
        <v>0</v>
      </c>
      <c r="R32" s="107"/>
      <c r="S32" s="108"/>
      <c r="T32" s="145">
        <v>295244.66837254167</v>
      </c>
      <c r="U32" s="23">
        <f t="shared" si="4"/>
        <v>2</v>
      </c>
    </row>
    <row r="33" spans="1:22" x14ac:dyDescent="0.25">
      <c r="A33" s="102">
        <f t="shared" si="5"/>
        <v>16</v>
      </c>
      <c r="B33" s="101">
        <f t="shared" si="6"/>
        <v>16</v>
      </c>
      <c r="C33" s="73" t="s">
        <v>82</v>
      </c>
      <c r="D33" s="120" t="s">
        <v>282</v>
      </c>
      <c r="E33" s="123">
        <f t="shared" si="3"/>
        <v>50879011.910000004</v>
      </c>
      <c r="F33" s="107">
        <v>0</v>
      </c>
      <c r="G33" s="107">
        <v>0</v>
      </c>
      <c r="H33" s="107">
        <v>0</v>
      </c>
      <c r="I33" s="155">
        <v>6678313.5999999996</v>
      </c>
      <c r="J33" s="155">
        <v>0</v>
      </c>
      <c r="K33" s="155"/>
      <c r="L33" s="155"/>
      <c r="M33" s="155">
        <v>0</v>
      </c>
      <c r="N33" s="155">
        <v>25055410.800000001</v>
      </c>
      <c r="O33" s="155">
        <v>16117459.310000001</v>
      </c>
      <c r="P33" s="155">
        <v>0</v>
      </c>
      <c r="Q33" s="155">
        <v>0</v>
      </c>
      <c r="R33" s="155">
        <v>1734020.86</v>
      </c>
      <c r="S33" s="110">
        <v>10000</v>
      </c>
      <c r="T33" s="156">
        <v>1283807.3400000001</v>
      </c>
      <c r="U33" s="23">
        <f t="shared" si="4"/>
        <v>3</v>
      </c>
    </row>
    <row r="34" spans="1:22" x14ac:dyDescent="0.25">
      <c r="A34" s="102">
        <f t="shared" si="5"/>
        <v>17</v>
      </c>
      <c r="B34" s="101">
        <f t="shared" si="6"/>
        <v>17</v>
      </c>
      <c r="C34" s="73" t="s">
        <v>81</v>
      </c>
      <c r="D34" s="120" t="s">
        <v>283</v>
      </c>
      <c r="E34" s="123">
        <f t="shared" si="3"/>
        <v>10558217.996456141</v>
      </c>
      <c r="F34" s="107"/>
      <c r="G34" s="107">
        <v>4716823.2</v>
      </c>
      <c r="H34" s="107"/>
      <c r="I34" s="107">
        <v>0</v>
      </c>
      <c r="J34" s="107">
        <v>0</v>
      </c>
      <c r="K34" s="107"/>
      <c r="L34" s="107"/>
      <c r="M34" s="107">
        <v>0</v>
      </c>
      <c r="N34" s="107">
        <v>5310079.2</v>
      </c>
      <c r="O34" s="107">
        <v>0</v>
      </c>
      <c r="P34" s="107">
        <v>0</v>
      </c>
      <c r="Q34" s="107">
        <v>0</v>
      </c>
      <c r="R34" s="107"/>
      <c r="S34" s="108"/>
      <c r="T34" s="145">
        <v>531315.59645614028</v>
      </c>
      <c r="U34" s="23">
        <f t="shared" si="4"/>
        <v>2</v>
      </c>
      <c r="V34" s="1" t="s">
        <v>146</v>
      </c>
    </row>
    <row r="35" spans="1:22" x14ac:dyDescent="0.25">
      <c r="A35" s="102">
        <f t="shared" si="5"/>
        <v>18</v>
      </c>
      <c r="B35" s="101">
        <f t="shared" si="6"/>
        <v>18</v>
      </c>
      <c r="C35" s="73" t="s">
        <v>81</v>
      </c>
      <c r="D35" s="120" t="s">
        <v>284</v>
      </c>
      <c r="E35" s="123">
        <f t="shared" si="3"/>
        <v>11881010.632439215</v>
      </c>
      <c r="F35" s="107"/>
      <c r="G35" s="107">
        <v>4815586.08</v>
      </c>
      <c r="H35" s="107"/>
      <c r="I35" s="107">
        <v>2345570.7400000002</v>
      </c>
      <c r="J35" s="107">
        <v>0</v>
      </c>
      <c r="K35" s="107"/>
      <c r="L35" s="107"/>
      <c r="M35" s="107">
        <v>0</v>
      </c>
      <c r="N35" s="107">
        <v>0</v>
      </c>
      <c r="O35" s="107">
        <v>4165102.0700000003</v>
      </c>
      <c r="P35" s="107">
        <v>0</v>
      </c>
      <c r="Q35" s="107">
        <v>0</v>
      </c>
      <c r="R35" s="107"/>
      <c r="S35" s="108"/>
      <c r="T35" s="145">
        <v>554751.74243921472</v>
      </c>
      <c r="U35" s="23">
        <f t="shared" si="4"/>
        <v>3</v>
      </c>
    </row>
    <row r="36" spans="1:22" x14ac:dyDescent="0.25">
      <c r="A36" s="102">
        <f t="shared" si="5"/>
        <v>19</v>
      </c>
      <c r="B36" s="101">
        <f t="shared" si="6"/>
        <v>19</v>
      </c>
      <c r="C36" s="73" t="s">
        <v>81</v>
      </c>
      <c r="D36" s="120" t="s">
        <v>285</v>
      </c>
      <c r="E36" s="123">
        <f t="shared" si="3"/>
        <v>13275635.754342195</v>
      </c>
      <c r="F36" s="107">
        <v>5601164.7400000002</v>
      </c>
      <c r="G36" s="107">
        <v>4132221.15</v>
      </c>
      <c r="H36" s="107"/>
      <c r="I36" s="107">
        <v>2594387.63</v>
      </c>
      <c r="J36" s="107">
        <v>0</v>
      </c>
      <c r="K36" s="107"/>
      <c r="L36" s="107"/>
      <c r="M36" s="107">
        <v>0</v>
      </c>
      <c r="N36" s="107">
        <v>0</v>
      </c>
      <c r="O36" s="107"/>
      <c r="P36" s="107">
        <v>0</v>
      </c>
      <c r="Q36" s="107">
        <v>0</v>
      </c>
      <c r="R36" s="107"/>
      <c r="S36" s="108"/>
      <c r="T36" s="145">
        <v>947862.23434219416</v>
      </c>
      <c r="U36" s="23">
        <f t="shared" si="4"/>
        <v>3</v>
      </c>
      <c r="V36" s="1" t="s">
        <v>146</v>
      </c>
    </row>
    <row r="37" spans="1:22" x14ac:dyDescent="0.25">
      <c r="A37" s="102">
        <f t="shared" si="5"/>
        <v>20</v>
      </c>
      <c r="B37" s="101">
        <f t="shared" si="6"/>
        <v>20</v>
      </c>
      <c r="C37" s="73" t="s">
        <v>81</v>
      </c>
      <c r="D37" s="120" t="s">
        <v>286</v>
      </c>
      <c r="E37" s="123">
        <f t="shared" si="3"/>
        <v>5240799.8242184632</v>
      </c>
      <c r="F37" s="107"/>
      <c r="G37" s="107">
        <v>1792691.85</v>
      </c>
      <c r="H37" s="107"/>
      <c r="I37" s="107">
        <v>1124322.94</v>
      </c>
      <c r="J37" s="107">
        <v>0</v>
      </c>
      <c r="K37" s="107"/>
      <c r="L37" s="107"/>
      <c r="M37" s="107">
        <v>0</v>
      </c>
      <c r="N37" s="107">
        <v>0</v>
      </c>
      <c r="O37" s="107">
        <v>1790598.95</v>
      </c>
      <c r="P37" s="107">
        <v>0</v>
      </c>
      <c r="Q37" s="107">
        <v>0</v>
      </c>
      <c r="R37" s="107"/>
      <c r="S37" s="108"/>
      <c r="T37" s="145">
        <v>533186.08421846246</v>
      </c>
      <c r="U37" s="23">
        <f t="shared" si="4"/>
        <v>3</v>
      </c>
    </row>
    <row r="38" spans="1:22" x14ac:dyDescent="0.25">
      <c r="A38" s="102">
        <f t="shared" si="5"/>
        <v>21</v>
      </c>
      <c r="B38" s="101">
        <f t="shared" si="6"/>
        <v>21</v>
      </c>
      <c r="C38" s="73" t="s">
        <v>81</v>
      </c>
      <c r="D38" s="120" t="s">
        <v>287</v>
      </c>
      <c r="E38" s="123">
        <f t="shared" si="3"/>
        <v>1569633.6837197063</v>
      </c>
      <c r="F38" s="107"/>
      <c r="G38" s="107">
        <v>991956.22</v>
      </c>
      <c r="H38" s="107"/>
      <c r="I38" s="107">
        <v>513354.67</v>
      </c>
      <c r="J38" s="107">
        <v>0</v>
      </c>
      <c r="K38" s="107"/>
      <c r="L38" s="107"/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/>
      <c r="S38" s="108"/>
      <c r="T38" s="145">
        <v>64322.793719706453</v>
      </c>
      <c r="U38" s="23">
        <f t="shared" si="4"/>
        <v>2</v>
      </c>
    </row>
    <row r="39" spans="1:22" x14ac:dyDescent="0.25">
      <c r="A39" s="102">
        <f t="shared" si="5"/>
        <v>22</v>
      </c>
      <c r="B39" s="101">
        <f t="shared" si="6"/>
        <v>22</v>
      </c>
      <c r="C39" s="73" t="s">
        <v>81</v>
      </c>
      <c r="D39" s="120" t="s">
        <v>288</v>
      </c>
      <c r="E39" s="123">
        <f t="shared" si="3"/>
        <v>6565896.2326294025</v>
      </c>
      <c r="F39" s="107">
        <v>2562057.4900000002</v>
      </c>
      <c r="G39" s="107">
        <v>1395411.2</v>
      </c>
      <c r="H39" s="107"/>
      <c r="I39" s="107">
        <v>767119.01</v>
      </c>
      <c r="J39" s="107">
        <v>0</v>
      </c>
      <c r="K39" s="107"/>
      <c r="L39" s="107"/>
      <c r="M39" s="107">
        <v>0</v>
      </c>
      <c r="N39" s="107">
        <v>0</v>
      </c>
      <c r="O39" s="107">
        <v>1469553.35</v>
      </c>
      <c r="P39" s="107">
        <v>0</v>
      </c>
      <c r="Q39" s="107">
        <v>0</v>
      </c>
      <c r="R39" s="107"/>
      <c r="S39" s="108"/>
      <c r="T39" s="145">
        <v>371755.18262940162</v>
      </c>
      <c r="U39" s="23">
        <f t="shared" si="4"/>
        <v>4</v>
      </c>
    </row>
    <row r="40" spans="1:22" x14ac:dyDescent="0.25">
      <c r="A40" s="102">
        <f t="shared" si="5"/>
        <v>23</v>
      </c>
      <c r="B40" s="101">
        <f t="shared" si="6"/>
        <v>23</v>
      </c>
      <c r="C40" s="73" t="s">
        <v>81</v>
      </c>
      <c r="D40" s="120" t="s">
        <v>289</v>
      </c>
      <c r="E40" s="123">
        <f t="shared" si="3"/>
        <v>2676812.0378491483</v>
      </c>
      <c r="F40" s="107">
        <v>2427136.19</v>
      </c>
      <c r="G40" s="107"/>
      <c r="H40" s="107"/>
      <c r="I40" s="107"/>
      <c r="J40" s="107">
        <v>0</v>
      </c>
      <c r="K40" s="107"/>
      <c r="L40" s="107"/>
      <c r="M40" s="107">
        <v>0</v>
      </c>
      <c r="N40" s="107">
        <v>0</v>
      </c>
      <c r="O40" s="107"/>
      <c r="P40" s="107">
        <v>0</v>
      </c>
      <c r="Q40" s="107">
        <v>0</v>
      </c>
      <c r="R40" s="107"/>
      <c r="S40" s="108"/>
      <c r="T40" s="145">
        <v>249675.84784914847</v>
      </c>
      <c r="U40" s="23">
        <f t="shared" si="4"/>
        <v>1</v>
      </c>
      <c r="V40" s="1" t="s">
        <v>146</v>
      </c>
    </row>
    <row r="41" spans="1:22" x14ac:dyDescent="0.25">
      <c r="A41" s="102">
        <f t="shared" si="5"/>
        <v>24</v>
      </c>
      <c r="B41" s="101">
        <f t="shared" si="6"/>
        <v>24</v>
      </c>
      <c r="C41" s="73" t="s">
        <v>82</v>
      </c>
      <c r="D41" s="120" t="s">
        <v>290</v>
      </c>
      <c r="E41" s="123">
        <f t="shared" si="3"/>
        <v>3289538.05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/>
      <c r="L41" s="107"/>
      <c r="M41" s="107">
        <v>0</v>
      </c>
      <c r="N41" s="155">
        <v>2913300.81</v>
      </c>
      <c r="O41" s="155">
        <v>0</v>
      </c>
      <c r="P41" s="155">
        <v>0</v>
      </c>
      <c r="Q41" s="155">
        <v>0</v>
      </c>
      <c r="R41" s="155">
        <v>297498.73</v>
      </c>
      <c r="S41" s="110">
        <v>8000</v>
      </c>
      <c r="T41" s="156">
        <v>70738.509999999995</v>
      </c>
      <c r="U41" s="23">
        <f t="shared" si="4"/>
        <v>1</v>
      </c>
    </row>
    <row r="42" spans="1:22" x14ac:dyDescent="0.25">
      <c r="A42" s="102">
        <f t="shared" si="5"/>
        <v>25</v>
      </c>
      <c r="B42" s="101">
        <f t="shared" si="6"/>
        <v>25</v>
      </c>
      <c r="C42" s="73" t="s">
        <v>81</v>
      </c>
      <c r="D42" s="120" t="s">
        <v>291</v>
      </c>
      <c r="E42" s="123">
        <f t="shared" si="3"/>
        <v>3078216.5789347347</v>
      </c>
      <c r="F42" s="107"/>
      <c r="G42" s="107">
        <v>2540840.59</v>
      </c>
      <c r="H42" s="107">
        <v>0</v>
      </c>
      <c r="I42" s="144"/>
      <c r="J42" s="107">
        <v>0</v>
      </c>
      <c r="K42" s="107"/>
      <c r="L42" s="107"/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/>
      <c r="S42" s="108"/>
      <c r="T42" s="145">
        <v>537375.98893473484</v>
      </c>
      <c r="U42" s="23">
        <f t="shared" si="4"/>
        <v>1</v>
      </c>
      <c r="V42" s="1" t="s">
        <v>146</v>
      </c>
    </row>
    <row r="43" spans="1:22" x14ac:dyDescent="0.25">
      <c r="A43" s="102">
        <f t="shared" si="5"/>
        <v>26</v>
      </c>
      <c r="B43" s="101">
        <f t="shared" si="6"/>
        <v>26</v>
      </c>
      <c r="C43" s="73" t="s">
        <v>82</v>
      </c>
      <c r="D43" s="120" t="s">
        <v>292</v>
      </c>
      <c r="E43" s="123">
        <f t="shared" si="3"/>
        <v>3685808.05</v>
      </c>
      <c r="F43" s="155">
        <v>2951330.4</v>
      </c>
      <c r="G43" s="155">
        <v>0</v>
      </c>
      <c r="H43" s="155">
        <v>0</v>
      </c>
      <c r="I43" s="155">
        <v>0</v>
      </c>
      <c r="J43" s="155">
        <v>0</v>
      </c>
      <c r="K43" s="155"/>
      <c r="L43" s="155"/>
      <c r="M43" s="155">
        <v>0</v>
      </c>
      <c r="N43" s="155">
        <v>0</v>
      </c>
      <c r="O43" s="155"/>
      <c r="P43" s="155">
        <v>0</v>
      </c>
      <c r="Q43" s="155">
        <v>0</v>
      </c>
      <c r="R43" s="155">
        <v>582619.32999999996</v>
      </c>
      <c r="S43" s="110">
        <v>24000</v>
      </c>
      <c r="T43" s="156">
        <v>127858.32</v>
      </c>
      <c r="U43" s="23">
        <f t="shared" si="4"/>
        <v>1</v>
      </c>
    </row>
    <row r="44" spans="1:22" x14ac:dyDescent="0.25">
      <c r="A44" s="102">
        <f t="shared" si="5"/>
        <v>27</v>
      </c>
      <c r="B44" s="101">
        <f t="shared" si="6"/>
        <v>27</v>
      </c>
      <c r="C44" s="73" t="s">
        <v>81</v>
      </c>
      <c r="D44" s="120" t="s">
        <v>293</v>
      </c>
      <c r="E44" s="123">
        <f t="shared" si="3"/>
        <v>9041524.1470446158</v>
      </c>
      <c r="F44" s="107">
        <v>3433452.29</v>
      </c>
      <c r="G44" s="107">
        <v>2760585.92</v>
      </c>
      <c r="H44" s="107">
        <v>0</v>
      </c>
      <c r="I44" s="107">
        <v>2310726.81</v>
      </c>
      <c r="J44" s="107">
        <v>0</v>
      </c>
      <c r="K44" s="107"/>
      <c r="L44" s="107"/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/>
      <c r="S44" s="108"/>
      <c r="T44" s="145">
        <v>536759.12704461697</v>
      </c>
      <c r="U44" s="23">
        <f t="shared" si="4"/>
        <v>3</v>
      </c>
      <c r="V44" s="1" t="s">
        <v>146</v>
      </c>
    </row>
    <row r="45" spans="1:22" x14ac:dyDescent="0.25">
      <c r="A45" s="102">
        <f t="shared" si="5"/>
        <v>28</v>
      </c>
      <c r="B45" s="101">
        <f t="shared" si="6"/>
        <v>28</v>
      </c>
      <c r="C45" s="73" t="s">
        <v>81</v>
      </c>
      <c r="D45" s="120" t="s">
        <v>294</v>
      </c>
      <c r="E45" s="123">
        <f t="shared" si="3"/>
        <v>5302435.6314287242</v>
      </c>
      <c r="F45" s="107"/>
      <c r="G45" s="107">
        <v>0</v>
      </c>
      <c r="H45" s="107">
        <v>0</v>
      </c>
      <c r="I45" s="107"/>
      <c r="J45" s="107">
        <v>0</v>
      </c>
      <c r="K45" s="107"/>
      <c r="L45" s="107"/>
      <c r="M45" s="107">
        <v>0</v>
      </c>
      <c r="N45" s="107">
        <v>0</v>
      </c>
      <c r="O45" s="107">
        <v>5115227.17</v>
      </c>
      <c r="P45" s="107">
        <v>0</v>
      </c>
      <c r="Q45" s="107">
        <v>0</v>
      </c>
      <c r="R45" s="107"/>
      <c r="S45" s="108"/>
      <c r="T45" s="145">
        <v>187208.46142872394</v>
      </c>
      <c r="U45" s="23">
        <f t="shared" si="4"/>
        <v>1</v>
      </c>
    </row>
    <row r="46" spans="1:22" x14ac:dyDescent="0.25">
      <c r="A46" s="102">
        <f t="shared" si="5"/>
        <v>29</v>
      </c>
      <c r="B46" s="101">
        <f t="shared" si="6"/>
        <v>29</v>
      </c>
      <c r="C46" s="73" t="s">
        <v>81</v>
      </c>
      <c r="D46" s="120" t="s">
        <v>193</v>
      </c>
      <c r="E46" s="123">
        <f t="shared" si="3"/>
        <v>4475493.9860630399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/>
      <c r="L46" s="107"/>
      <c r="M46" s="107">
        <v>0</v>
      </c>
      <c r="N46" s="107">
        <v>0</v>
      </c>
      <c r="O46" s="107">
        <v>4339069.3499999996</v>
      </c>
      <c r="P46" s="107">
        <v>0</v>
      </c>
      <c r="Q46" s="107">
        <v>0</v>
      </c>
      <c r="R46" s="107"/>
      <c r="S46" s="108"/>
      <c r="T46" s="145">
        <v>136424.63606304</v>
      </c>
      <c r="U46" s="23">
        <f t="shared" si="4"/>
        <v>1</v>
      </c>
    </row>
    <row r="47" spans="1:22" x14ac:dyDescent="0.25">
      <c r="A47" s="102">
        <f t="shared" si="5"/>
        <v>30</v>
      </c>
      <c r="B47" s="101">
        <f t="shared" si="6"/>
        <v>30</v>
      </c>
      <c r="C47" s="73" t="s">
        <v>81</v>
      </c>
      <c r="D47" s="120" t="s">
        <v>194</v>
      </c>
      <c r="E47" s="123">
        <f t="shared" si="3"/>
        <v>4016836.5007339842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7"/>
      <c r="L47" s="107"/>
      <c r="M47" s="107">
        <v>0</v>
      </c>
      <c r="N47" s="107">
        <v>0</v>
      </c>
      <c r="O47" s="107">
        <v>3882256.24</v>
      </c>
      <c r="P47" s="107">
        <v>0</v>
      </c>
      <c r="Q47" s="107">
        <v>0</v>
      </c>
      <c r="R47" s="107"/>
      <c r="S47" s="108"/>
      <c r="T47" s="145">
        <v>134580.260733984</v>
      </c>
      <c r="U47" s="23">
        <f t="shared" si="4"/>
        <v>1</v>
      </c>
    </row>
    <row r="48" spans="1:22" x14ac:dyDescent="0.25">
      <c r="A48" s="102">
        <f t="shared" si="5"/>
        <v>31</v>
      </c>
      <c r="B48" s="101">
        <f t="shared" si="6"/>
        <v>31</v>
      </c>
      <c r="C48" s="73" t="s">
        <v>81</v>
      </c>
      <c r="D48" s="120" t="s">
        <v>195</v>
      </c>
      <c r="E48" s="123">
        <f t="shared" si="3"/>
        <v>4129287.6900192644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/>
      <c r="L48" s="107"/>
      <c r="M48" s="107">
        <v>0</v>
      </c>
      <c r="N48" s="107">
        <v>0</v>
      </c>
      <c r="O48" s="107">
        <v>3994725.91</v>
      </c>
      <c r="P48" s="107">
        <v>0</v>
      </c>
      <c r="Q48" s="107">
        <v>0</v>
      </c>
      <c r="R48" s="107"/>
      <c r="S48" s="108"/>
      <c r="T48" s="145">
        <v>134561.780019264</v>
      </c>
      <c r="U48" s="23">
        <f t="shared" si="4"/>
        <v>1</v>
      </c>
    </row>
    <row r="49" spans="1:22" x14ac:dyDescent="0.25">
      <c r="A49" s="102">
        <f t="shared" si="5"/>
        <v>32</v>
      </c>
      <c r="B49" s="101">
        <f t="shared" si="6"/>
        <v>32</v>
      </c>
      <c r="C49" s="73" t="s">
        <v>81</v>
      </c>
      <c r="D49" s="120" t="s">
        <v>196</v>
      </c>
      <c r="E49" s="123">
        <f t="shared" si="3"/>
        <v>3549906.48971568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/>
      <c r="L49" s="107"/>
      <c r="M49" s="107">
        <v>0</v>
      </c>
      <c r="N49" s="107">
        <v>0</v>
      </c>
      <c r="O49" s="107">
        <v>3410025.96</v>
      </c>
      <c r="P49" s="107">
        <v>0</v>
      </c>
      <c r="Q49" s="107">
        <v>0</v>
      </c>
      <c r="R49" s="107"/>
      <c r="S49" s="108"/>
      <c r="T49" s="145">
        <v>139880.52971567999</v>
      </c>
      <c r="U49" s="23">
        <f t="shared" si="4"/>
        <v>1</v>
      </c>
      <c r="V49" s="1" t="s">
        <v>146</v>
      </c>
    </row>
    <row r="50" spans="1:22" x14ac:dyDescent="0.25">
      <c r="A50" s="102">
        <f t="shared" si="5"/>
        <v>33</v>
      </c>
      <c r="B50" s="101">
        <f t="shared" si="6"/>
        <v>33</v>
      </c>
      <c r="C50" s="73" t="s">
        <v>81</v>
      </c>
      <c r="D50" s="120" t="s">
        <v>295</v>
      </c>
      <c r="E50" s="123">
        <f t="shared" ref="E50:E81" si="7">SUBTOTAL(9,F50:T50)</f>
        <v>12323375.331853973</v>
      </c>
      <c r="F50" s="107">
        <v>5460916.2000000002</v>
      </c>
      <c r="G50" s="107"/>
      <c r="H50" s="107"/>
      <c r="I50" s="107">
        <v>2605145.33</v>
      </c>
      <c r="J50" s="107">
        <v>0</v>
      </c>
      <c r="K50" s="107"/>
      <c r="L50" s="107"/>
      <c r="M50" s="107">
        <v>0</v>
      </c>
      <c r="N50" s="107">
        <v>3676226.7</v>
      </c>
      <c r="O50" s="107">
        <v>0</v>
      </c>
      <c r="P50" s="107">
        <v>0</v>
      </c>
      <c r="Q50" s="107">
        <v>0</v>
      </c>
      <c r="R50" s="107"/>
      <c r="S50" s="108"/>
      <c r="T50" s="145">
        <v>581087.10185397218</v>
      </c>
      <c r="U50" s="23">
        <f t="shared" ref="U50:U81" si="8">COUNTIF(F50:Q50,"&gt;0")</f>
        <v>3</v>
      </c>
    </row>
    <row r="51" spans="1:22" x14ac:dyDescent="0.25">
      <c r="A51" s="102">
        <f t="shared" ref="A51:A82" si="9">+A50+1</f>
        <v>34</v>
      </c>
      <c r="B51" s="101">
        <f t="shared" ref="B51:B82" si="10">+B50+1</f>
        <v>34</v>
      </c>
      <c r="C51" s="73" t="s">
        <v>81</v>
      </c>
      <c r="D51" s="120" t="s">
        <v>201</v>
      </c>
      <c r="E51" s="123">
        <f t="shared" si="7"/>
        <v>26057138.58937408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/>
      <c r="L51" s="107"/>
      <c r="M51" s="107">
        <v>0</v>
      </c>
      <c r="N51" s="107"/>
      <c r="O51" s="107">
        <v>0</v>
      </c>
      <c r="P51" s="107">
        <v>24993173.34</v>
      </c>
      <c r="Q51" s="107">
        <v>0</v>
      </c>
      <c r="R51" s="107"/>
      <c r="S51" s="108"/>
      <c r="T51" s="145">
        <v>1063965.2493740798</v>
      </c>
      <c r="U51" s="23">
        <f t="shared" si="8"/>
        <v>1</v>
      </c>
    </row>
    <row r="52" spans="1:22" x14ac:dyDescent="0.25">
      <c r="A52" s="102">
        <f t="shared" si="9"/>
        <v>35</v>
      </c>
      <c r="B52" s="101">
        <f t="shared" si="10"/>
        <v>35</v>
      </c>
      <c r="C52" s="73" t="s">
        <v>81</v>
      </c>
      <c r="D52" s="120" t="s">
        <v>202</v>
      </c>
      <c r="E52" s="123">
        <f t="shared" si="7"/>
        <v>2330396.1391615798</v>
      </c>
      <c r="F52" s="107"/>
      <c r="G52" s="107">
        <v>2149155.58</v>
      </c>
      <c r="H52" s="107">
        <v>0</v>
      </c>
      <c r="I52" s="107">
        <v>0</v>
      </c>
      <c r="J52" s="107">
        <v>0</v>
      </c>
      <c r="K52" s="107"/>
      <c r="L52" s="107"/>
      <c r="M52" s="107"/>
      <c r="N52" s="107"/>
      <c r="O52" s="107"/>
      <c r="P52" s="107"/>
      <c r="Q52" s="107">
        <v>0</v>
      </c>
      <c r="R52" s="107"/>
      <c r="S52" s="108"/>
      <c r="T52" s="145">
        <v>181240.55916157967</v>
      </c>
      <c r="U52" s="23">
        <f t="shared" si="8"/>
        <v>1</v>
      </c>
    </row>
    <row r="53" spans="1:22" x14ac:dyDescent="0.25">
      <c r="A53" s="102">
        <f t="shared" si="9"/>
        <v>36</v>
      </c>
      <c r="B53" s="101">
        <f t="shared" si="10"/>
        <v>36</v>
      </c>
      <c r="C53" s="73" t="s">
        <v>81</v>
      </c>
      <c r="D53" s="120" t="s">
        <v>296</v>
      </c>
      <c r="E53" s="123">
        <f t="shared" si="7"/>
        <v>1888185.6276605655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/>
      <c r="L53" s="107"/>
      <c r="M53" s="107">
        <v>0</v>
      </c>
      <c r="N53" s="107">
        <v>1822287.29</v>
      </c>
      <c r="O53" s="107">
        <v>0</v>
      </c>
      <c r="P53" s="107">
        <v>0</v>
      </c>
      <c r="Q53" s="107">
        <v>0</v>
      </c>
      <c r="R53" s="107"/>
      <c r="S53" s="108"/>
      <c r="T53" s="145">
        <v>65898.337660565405</v>
      </c>
      <c r="U53" s="23">
        <f t="shared" si="8"/>
        <v>1</v>
      </c>
    </row>
    <row r="54" spans="1:22" x14ac:dyDescent="0.25">
      <c r="A54" s="102">
        <f t="shared" si="9"/>
        <v>37</v>
      </c>
      <c r="B54" s="101">
        <f t="shared" si="10"/>
        <v>37</v>
      </c>
      <c r="C54" s="73" t="s">
        <v>82</v>
      </c>
      <c r="D54" s="120" t="s">
        <v>297</v>
      </c>
      <c r="E54" s="123">
        <f t="shared" si="7"/>
        <v>22074493.369999997</v>
      </c>
      <c r="F54" s="107"/>
      <c r="G54" s="155">
        <v>6965734.7999999998</v>
      </c>
      <c r="H54" s="155">
        <v>2892341.42</v>
      </c>
      <c r="I54" s="155">
        <v>3341459.79</v>
      </c>
      <c r="J54" s="155">
        <v>0</v>
      </c>
      <c r="K54" s="155"/>
      <c r="L54" s="155"/>
      <c r="M54" s="155">
        <v>0</v>
      </c>
      <c r="N54" s="155">
        <v>7743707.0499999998</v>
      </c>
      <c r="O54" s="155">
        <v>0</v>
      </c>
      <c r="P54" s="155">
        <v>0</v>
      </c>
      <c r="Q54" s="155">
        <v>0</v>
      </c>
      <c r="R54" s="155">
        <v>732528.68</v>
      </c>
      <c r="S54" s="110">
        <v>10000</v>
      </c>
      <c r="T54" s="156">
        <v>388721.63</v>
      </c>
      <c r="U54" s="23">
        <f t="shared" si="8"/>
        <v>4</v>
      </c>
    </row>
    <row r="55" spans="1:22" x14ac:dyDescent="0.25">
      <c r="A55" s="102">
        <f t="shared" si="9"/>
        <v>38</v>
      </c>
      <c r="B55" s="101">
        <f t="shared" si="10"/>
        <v>38</v>
      </c>
      <c r="C55" s="73" t="s">
        <v>51</v>
      </c>
      <c r="D55" s="120" t="s">
        <v>379</v>
      </c>
      <c r="E55" s="123">
        <f t="shared" si="7"/>
        <v>12738229.499971401</v>
      </c>
      <c r="F55" s="107">
        <v>1983392.29</v>
      </c>
      <c r="G55" s="107">
        <v>0</v>
      </c>
      <c r="H55" s="107">
        <v>764851.03</v>
      </c>
      <c r="I55" s="107">
        <v>859745.54</v>
      </c>
      <c r="J55" s="107">
        <v>0</v>
      </c>
      <c r="K55" s="107"/>
      <c r="L55" s="107"/>
      <c r="M55" s="107">
        <v>0</v>
      </c>
      <c r="N55" s="107">
        <v>4729777.2699999996</v>
      </c>
      <c r="O55" s="107">
        <v>0</v>
      </c>
      <c r="P55" s="107">
        <v>3962700.17</v>
      </c>
      <c r="Q55" s="107"/>
      <c r="R55" s="107">
        <v>118987.5845</v>
      </c>
      <c r="S55" s="108">
        <v>24854.014500000001</v>
      </c>
      <c r="T55" s="145">
        <v>293921.60097140004</v>
      </c>
      <c r="U55" s="23">
        <f t="shared" si="8"/>
        <v>5</v>
      </c>
    </row>
    <row r="56" spans="1:22" x14ac:dyDescent="0.25">
      <c r="A56" s="102">
        <f t="shared" si="9"/>
        <v>39</v>
      </c>
      <c r="B56" s="101">
        <f t="shared" si="10"/>
        <v>39</v>
      </c>
      <c r="C56" s="73" t="s">
        <v>51</v>
      </c>
      <c r="D56" s="120" t="s">
        <v>380</v>
      </c>
      <c r="E56" s="123">
        <f t="shared" si="7"/>
        <v>10031683.765631998</v>
      </c>
      <c r="F56" s="107">
        <v>3525522.9</v>
      </c>
      <c r="G56" s="107">
        <v>0</v>
      </c>
      <c r="H56" s="107">
        <v>1377151.25</v>
      </c>
      <c r="I56" s="107"/>
      <c r="J56" s="107">
        <v>0</v>
      </c>
      <c r="K56" s="107"/>
      <c r="L56" s="107"/>
      <c r="M56" s="107">
        <v>0</v>
      </c>
      <c r="N56" s="107">
        <v>4462778.8899999997</v>
      </c>
      <c r="O56" s="107">
        <v>0</v>
      </c>
      <c r="P56" s="107">
        <v>0</v>
      </c>
      <c r="Q56" s="107">
        <v>0</v>
      </c>
      <c r="R56" s="107">
        <v>322308.04000000004</v>
      </c>
      <c r="S56" s="108">
        <v>48000</v>
      </c>
      <c r="T56" s="145">
        <v>295922.68563200004</v>
      </c>
      <c r="U56" s="23">
        <f t="shared" si="8"/>
        <v>3</v>
      </c>
    </row>
    <row r="57" spans="1:22" x14ac:dyDescent="0.25">
      <c r="A57" s="102">
        <f t="shared" si="9"/>
        <v>40</v>
      </c>
      <c r="B57" s="101">
        <f t="shared" si="10"/>
        <v>40</v>
      </c>
      <c r="C57" s="73" t="s">
        <v>51</v>
      </c>
      <c r="D57" s="120" t="s">
        <v>381</v>
      </c>
      <c r="E57" s="123">
        <f t="shared" si="7"/>
        <v>7884285.4414625997</v>
      </c>
      <c r="F57" s="107">
        <v>5966685.6799999997</v>
      </c>
      <c r="G57" s="107">
        <v>1488946.14</v>
      </c>
      <c r="H57" s="107"/>
      <c r="I57" s="107"/>
      <c r="J57" s="107">
        <v>0</v>
      </c>
      <c r="K57" s="107"/>
      <c r="L57" s="107"/>
      <c r="M57" s="107">
        <v>0</v>
      </c>
      <c r="N57" s="107"/>
      <c r="O57" s="107">
        <v>0</v>
      </c>
      <c r="P57" s="107"/>
      <c r="Q57" s="107"/>
      <c r="R57" s="107"/>
      <c r="S57" s="108"/>
      <c r="T57" s="145">
        <v>428653.62146259996</v>
      </c>
      <c r="U57" s="23">
        <f t="shared" si="8"/>
        <v>2</v>
      </c>
    </row>
    <row r="58" spans="1:22" x14ac:dyDescent="0.25">
      <c r="A58" s="102">
        <f t="shared" si="9"/>
        <v>41</v>
      </c>
      <c r="B58" s="101">
        <f t="shared" si="10"/>
        <v>41</v>
      </c>
      <c r="C58" s="73" t="s">
        <v>51</v>
      </c>
      <c r="D58" s="120" t="s">
        <v>382</v>
      </c>
      <c r="E58" s="123">
        <f t="shared" si="7"/>
        <v>12731761.31732418</v>
      </c>
      <c r="F58" s="107">
        <v>1765727.93</v>
      </c>
      <c r="G58" s="107">
        <v>0</v>
      </c>
      <c r="H58" s="107">
        <v>609050.4</v>
      </c>
      <c r="I58" s="107"/>
      <c r="J58" s="107">
        <v>0</v>
      </c>
      <c r="K58" s="107"/>
      <c r="L58" s="107"/>
      <c r="M58" s="107">
        <v>0</v>
      </c>
      <c r="N58" s="107">
        <v>6221591.2110660002</v>
      </c>
      <c r="O58" s="107"/>
      <c r="P58" s="107"/>
      <c r="Q58" s="107">
        <v>2928661.91</v>
      </c>
      <c r="R58" s="107">
        <v>699135.1274</v>
      </c>
      <c r="S58" s="108">
        <v>90522.263900000005</v>
      </c>
      <c r="T58" s="145">
        <v>417072.47495817998</v>
      </c>
      <c r="U58" s="23">
        <f t="shared" si="8"/>
        <v>4</v>
      </c>
      <c r="V58" s="1" t="s">
        <v>149</v>
      </c>
    </row>
    <row r="59" spans="1:22" x14ac:dyDescent="0.25">
      <c r="A59" s="102">
        <f t="shared" si="9"/>
        <v>42</v>
      </c>
      <c r="B59" s="101">
        <f t="shared" si="10"/>
        <v>42</v>
      </c>
      <c r="C59" s="73" t="s">
        <v>51</v>
      </c>
      <c r="D59" s="120" t="s">
        <v>383</v>
      </c>
      <c r="E59" s="123">
        <f t="shared" si="7"/>
        <v>7296497.5090870196</v>
      </c>
      <c r="F59" s="107">
        <v>3493966.86</v>
      </c>
      <c r="G59" s="107">
        <v>2141042.75</v>
      </c>
      <c r="H59" s="107"/>
      <c r="I59" s="107">
        <v>1393455.49</v>
      </c>
      <c r="J59" s="107"/>
      <c r="K59" s="107"/>
      <c r="L59" s="107"/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/>
      <c r="S59" s="108"/>
      <c r="T59" s="145">
        <v>268032.40908702003</v>
      </c>
      <c r="U59" s="23">
        <f t="shared" si="8"/>
        <v>3</v>
      </c>
    </row>
    <row r="60" spans="1:22" x14ac:dyDescent="0.25">
      <c r="A60" s="102">
        <f t="shared" si="9"/>
        <v>43</v>
      </c>
      <c r="B60" s="101">
        <f t="shared" si="10"/>
        <v>43</v>
      </c>
      <c r="C60" s="73" t="s">
        <v>51</v>
      </c>
      <c r="D60" s="120" t="s">
        <v>384</v>
      </c>
      <c r="E60" s="123">
        <f t="shared" si="7"/>
        <v>50935943.967325002</v>
      </c>
      <c r="F60" s="107">
        <v>5399356.9199999999</v>
      </c>
      <c r="G60" s="107"/>
      <c r="H60" s="107">
        <v>2387945.1800000002</v>
      </c>
      <c r="I60" s="107">
        <v>2433472.6800000002</v>
      </c>
      <c r="J60" s="107"/>
      <c r="K60" s="107"/>
      <c r="L60" s="107"/>
      <c r="M60" s="107">
        <v>0</v>
      </c>
      <c r="N60" s="107">
        <v>11379650.75</v>
      </c>
      <c r="O60" s="107">
        <v>0</v>
      </c>
      <c r="P60" s="107">
        <v>18883188.84</v>
      </c>
      <c r="Q60" s="107">
        <v>8812365.2793959994</v>
      </c>
      <c r="R60" s="107">
        <v>276792.45750000002</v>
      </c>
      <c r="S60" s="108">
        <v>44508.167499999996</v>
      </c>
      <c r="T60" s="145">
        <v>1318663.6929290001</v>
      </c>
      <c r="U60" s="23">
        <f t="shared" si="8"/>
        <v>6</v>
      </c>
      <c r="V60" s="1" t="s">
        <v>147</v>
      </c>
    </row>
    <row r="61" spans="1:22" x14ac:dyDescent="0.25">
      <c r="A61" s="102">
        <f t="shared" si="9"/>
        <v>44</v>
      </c>
      <c r="B61" s="101">
        <f t="shared" si="10"/>
        <v>44</v>
      </c>
      <c r="C61" s="73" t="s">
        <v>51</v>
      </c>
      <c r="D61" s="120" t="s">
        <v>385</v>
      </c>
      <c r="E61" s="123">
        <f t="shared" si="7"/>
        <v>9358782.4640582055</v>
      </c>
      <c r="F61" s="107">
        <v>1114194.82</v>
      </c>
      <c r="G61" s="107">
        <v>0</v>
      </c>
      <c r="H61" s="107">
        <v>325054.98</v>
      </c>
      <c r="I61" s="107">
        <v>0</v>
      </c>
      <c r="J61" s="107">
        <v>0</v>
      </c>
      <c r="K61" s="107"/>
      <c r="L61" s="107"/>
      <c r="M61" s="107">
        <v>0</v>
      </c>
      <c r="N61" s="107">
        <v>2410884.9500000002</v>
      </c>
      <c r="O61" s="107">
        <v>0</v>
      </c>
      <c r="P61" s="107">
        <v>2965969.93</v>
      </c>
      <c r="Q61" s="107">
        <v>2124525.0299999998</v>
      </c>
      <c r="R61" s="107">
        <v>222088.61</v>
      </c>
      <c r="S61" s="107">
        <f>64189.4440582085</f>
        <v>64189.444058208501</v>
      </c>
      <c r="T61" s="145">
        <v>131874.70000000001</v>
      </c>
      <c r="U61" s="23">
        <f t="shared" si="8"/>
        <v>5</v>
      </c>
    </row>
    <row r="62" spans="1:22" x14ac:dyDescent="0.25">
      <c r="A62" s="102">
        <f t="shared" si="9"/>
        <v>45</v>
      </c>
      <c r="B62" s="101">
        <f t="shared" si="10"/>
        <v>45</v>
      </c>
      <c r="C62" s="73" t="s">
        <v>51</v>
      </c>
      <c r="D62" s="120" t="s">
        <v>386</v>
      </c>
      <c r="E62" s="123">
        <f t="shared" si="7"/>
        <v>495705.70943093998</v>
      </c>
      <c r="F62" s="107">
        <v>0</v>
      </c>
      <c r="G62" s="107">
        <v>0</v>
      </c>
      <c r="H62" s="107">
        <v>295096.46000000002</v>
      </c>
      <c r="I62" s="107">
        <v>0</v>
      </c>
      <c r="J62" s="107">
        <v>0</v>
      </c>
      <c r="K62" s="107"/>
      <c r="L62" s="107"/>
      <c r="M62" s="107">
        <v>0</v>
      </c>
      <c r="N62" s="107">
        <v>0</v>
      </c>
      <c r="O62" s="107">
        <v>0</v>
      </c>
      <c r="P62" s="107"/>
      <c r="Q62" s="107"/>
      <c r="R62" s="107"/>
      <c r="S62" s="108"/>
      <c r="T62" s="145">
        <v>200609.24943093999</v>
      </c>
      <c r="U62" s="23">
        <f t="shared" si="8"/>
        <v>1</v>
      </c>
    </row>
    <row r="63" spans="1:22" x14ac:dyDescent="0.25">
      <c r="A63" s="102">
        <f t="shared" si="9"/>
        <v>46</v>
      </c>
      <c r="B63" s="101">
        <f t="shared" si="10"/>
        <v>46</v>
      </c>
      <c r="C63" s="73" t="s">
        <v>51</v>
      </c>
      <c r="D63" s="73" t="s">
        <v>387</v>
      </c>
      <c r="E63" s="100">
        <f t="shared" si="7"/>
        <v>295096.46000000002</v>
      </c>
      <c r="F63" s="43">
        <v>0</v>
      </c>
      <c r="G63" s="43">
        <v>0</v>
      </c>
      <c r="H63" s="43">
        <v>295096.46000000002</v>
      </c>
      <c r="I63" s="43">
        <v>0</v>
      </c>
      <c r="J63" s="43">
        <v>0</v>
      </c>
      <c r="K63" s="43"/>
      <c r="L63" s="43"/>
      <c r="M63" s="43">
        <v>0</v>
      </c>
      <c r="N63" s="43">
        <v>0</v>
      </c>
      <c r="O63" s="43">
        <v>0</v>
      </c>
      <c r="P63" s="43"/>
      <c r="Q63" s="43"/>
      <c r="R63" s="43"/>
      <c r="S63" s="66"/>
      <c r="T63" s="145"/>
      <c r="U63" s="23">
        <f t="shared" si="8"/>
        <v>1</v>
      </c>
    </row>
    <row r="64" spans="1:22" x14ac:dyDescent="0.25">
      <c r="A64" s="102">
        <f t="shared" si="9"/>
        <v>47</v>
      </c>
      <c r="B64" s="101">
        <f t="shared" si="10"/>
        <v>47</v>
      </c>
      <c r="C64" s="73" t="s">
        <v>51</v>
      </c>
      <c r="D64" s="73" t="s">
        <v>388</v>
      </c>
      <c r="E64" s="100">
        <f t="shared" si="7"/>
        <v>20563603.904344082</v>
      </c>
      <c r="F64" s="109"/>
      <c r="G64" s="107"/>
      <c r="H64" s="144"/>
      <c r="I64" s="107"/>
      <c r="J64" s="107"/>
      <c r="K64" s="107"/>
      <c r="L64" s="107"/>
      <c r="M64" s="107">
        <v>0</v>
      </c>
      <c r="N64" s="107"/>
      <c r="O64" s="107">
        <v>0</v>
      </c>
      <c r="P64" s="107">
        <v>13315014.15</v>
      </c>
      <c r="Q64" s="107">
        <v>6316602.7000000002</v>
      </c>
      <c r="R64" s="107">
        <v>184016.59</v>
      </c>
      <c r="S64" s="108"/>
      <c r="T64" s="145">
        <v>747970.46434408007</v>
      </c>
      <c r="U64" s="23">
        <f t="shared" si="8"/>
        <v>2</v>
      </c>
    </row>
    <row r="65" spans="1:22" x14ac:dyDescent="0.25">
      <c r="A65" s="102">
        <f t="shared" si="9"/>
        <v>48</v>
      </c>
      <c r="B65" s="101">
        <f t="shared" si="10"/>
        <v>48</v>
      </c>
      <c r="C65" s="73" t="s">
        <v>51</v>
      </c>
      <c r="D65" s="73" t="s">
        <v>389</v>
      </c>
      <c r="E65" s="100">
        <f t="shared" si="7"/>
        <v>26746433.920307983</v>
      </c>
      <c r="F65" s="107">
        <v>4769407.0999999996</v>
      </c>
      <c r="G65" s="107"/>
      <c r="H65" s="144"/>
      <c r="I65" s="107">
        <v>1031316.84</v>
      </c>
      <c r="J65" s="107"/>
      <c r="K65" s="107"/>
      <c r="L65" s="107"/>
      <c r="M65" s="107">
        <v>0</v>
      </c>
      <c r="N65" s="107">
        <v>10189652.140000001</v>
      </c>
      <c r="O65" s="107">
        <v>0</v>
      </c>
      <c r="P65" s="107">
        <v>7616799.1900000004</v>
      </c>
      <c r="Q65" s="107">
        <v>787626.31</v>
      </c>
      <c r="R65" s="107">
        <v>1118801.8879009918</v>
      </c>
      <c r="S65" s="107">
        <f>64785.607900992</f>
        <v>64785.607900991999</v>
      </c>
      <c r="T65" s="145">
        <v>1168044.8445060002</v>
      </c>
      <c r="U65" s="131">
        <f t="shared" si="8"/>
        <v>5</v>
      </c>
    </row>
    <row r="66" spans="1:22" x14ac:dyDescent="0.25">
      <c r="A66" s="102">
        <f t="shared" si="9"/>
        <v>49</v>
      </c>
      <c r="B66" s="101">
        <f t="shared" si="10"/>
        <v>49</v>
      </c>
      <c r="C66" s="73" t="s">
        <v>51</v>
      </c>
      <c r="D66" s="73" t="s">
        <v>390</v>
      </c>
      <c r="E66" s="100">
        <f t="shared" si="7"/>
        <v>701860.01140024001</v>
      </c>
      <c r="F66" s="107"/>
      <c r="G66" s="107"/>
      <c r="H66" s="107">
        <v>657551.96</v>
      </c>
      <c r="I66" s="107"/>
      <c r="J66" s="107"/>
      <c r="K66" s="107"/>
      <c r="L66" s="107"/>
      <c r="M66" s="107">
        <v>0</v>
      </c>
      <c r="N66" s="107"/>
      <c r="O66" s="107">
        <v>0</v>
      </c>
      <c r="P66" s="107">
        <v>0</v>
      </c>
      <c r="Q66" s="107">
        <v>0</v>
      </c>
      <c r="R66" s="107"/>
      <c r="S66" s="108"/>
      <c r="T66" s="145">
        <v>44308.051400240001</v>
      </c>
      <c r="U66" s="23">
        <f t="shared" si="8"/>
        <v>1</v>
      </c>
      <c r="V66" s="1" t="s">
        <v>146</v>
      </c>
    </row>
    <row r="67" spans="1:22" s="34" customFormat="1" x14ac:dyDescent="0.25">
      <c r="A67" s="102">
        <f t="shared" si="9"/>
        <v>50</v>
      </c>
      <c r="B67" s="101">
        <f t="shared" si="10"/>
        <v>50</v>
      </c>
      <c r="C67" s="73" t="s">
        <v>51</v>
      </c>
      <c r="D67" s="73" t="s">
        <v>391</v>
      </c>
      <c r="E67" s="100">
        <f t="shared" si="7"/>
        <v>6059622.2357299505</v>
      </c>
      <c r="F67" s="123"/>
      <c r="G67" s="123"/>
      <c r="H67" s="123"/>
      <c r="I67" s="123"/>
      <c r="J67" s="123"/>
      <c r="K67" s="123"/>
      <c r="L67" s="123"/>
      <c r="M67" s="123">
        <v>5738993.2800000003</v>
      </c>
      <c r="N67" s="123"/>
      <c r="O67" s="123"/>
      <c r="P67" s="123"/>
      <c r="Q67" s="123"/>
      <c r="R67" s="123">
        <v>146568.92267519998</v>
      </c>
      <c r="S67" s="123">
        <v>24000</v>
      </c>
      <c r="T67" s="123">
        <v>150060.03305475073</v>
      </c>
      <c r="U67" s="23">
        <f t="shared" si="8"/>
        <v>1</v>
      </c>
    </row>
    <row r="68" spans="1:22" s="34" customFormat="1" x14ac:dyDescent="0.25">
      <c r="A68" s="102">
        <f t="shared" si="9"/>
        <v>51</v>
      </c>
      <c r="B68" s="101">
        <f t="shared" si="10"/>
        <v>51</v>
      </c>
      <c r="C68" s="73" t="s">
        <v>51</v>
      </c>
      <c r="D68" s="73" t="s">
        <v>392</v>
      </c>
      <c r="E68" s="100">
        <f t="shared" si="7"/>
        <v>6048926.2934416514</v>
      </c>
      <c r="F68" s="123"/>
      <c r="G68" s="123"/>
      <c r="H68" s="123"/>
      <c r="I68" s="123"/>
      <c r="J68" s="123"/>
      <c r="K68" s="123"/>
      <c r="L68" s="123"/>
      <c r="M68" s="123">
        <v>5738993.2800000003</v>
      </c>
      <c r="N68" s="123"/>
      <c r="O68" s="123"/>
      <c r="P68" s="123"/>
      <c r="Q68" s="123"/>
      <c r="R68" s="123">
        <v>135639.08179199998</v>
      </c>
      <c r="S68" s="123">
        <v>24000</v>
      </c>
      <c r="T68" s="123">
        <v>150293.9316496512</v>
      </c>
      <c r="U68" s="23">
        <f t="shared" si="8"/>
        <v>1</v>
      </c>
    </row>
    <row r="69" spans="1:22" x14ac:dyDescent="0.25">
      <c r="A69" s="102">
        <f t="shared" si="9"/>
        <v>52</v>
      </c>
      <c r="B69" s="101">
        <f t="shared" si="10"/>
        <v>52</v>
      </c>
      <c r="C69" s="73" t="s">
        <v>51</v>
      </c>
      <c r="D69" s="73" t="s">
        <v>393</v>
      </c>
      <c r="E69" s="100">
        <f t="shared" si="7"/>
        <v>1143075.80756688</v>
      </c>
      <c r="F69" s="107"/>
      <c r="G69" s="107"/>
      <c r="H69" s="107"/>
      <c r="I69" s="107"/>
      <c r="J69" s="107">
        <f>1117005.032262+1399.01</f>
        <v>1118404.042262</v>
      </c>
      <c r="K69" s="107"/>
      <c r="L69" s="107"/>
      <c r="M69" s="107"/>
      <c r="N69" s="107"/>
      <c r="O69" s="107">
        <v>0</v>
      </c>
      <c r="P69" s="107">
        <v>0</v>
      </c>
      <c r="Q69" s="107">
        <v>0</v>
      </c>
      <c r="R69" s="107"/>
      <c r="S69" s="108"/>
      <c r="T69" s="145">
        <v>24671.765304880006</v>
      </c>
      <c r="U69" s="23">
        <f t="shared" si="8"/>
        <v>1</v>
      </c>
    </row>
    <row r="70" spans="1:22" x14ac:dyDescent="0.25">
      <c r="A70" s="102">
        <f t="shared" si="9"/>
        <v>53</v>
      </c>
      <c r="B70" s="101">
        <f t="shared" si="10"/>
        <v>53</v>
      </c>
      <c r="C70" s="73" t="s">
        <v>51</v>
      </c>
      <c r="D70" s="73" t="s">
        <v>394</v>
      </c>
      <c r="E70" s="100">
        <f t="shared" si="7"/>
        <v>784502.32414875994</v>
      </c>
      <c r="F70" s="107"/>
      <c r="G70" s="107"/>
      <c r="H70" s="107">
        <v>727596.98</v>
      </c>
      <c r="I70" s="107"/>
      <c r="J70" s="107"/>
      <c r="K70" s="107"/>
      <c r="L70" s="107"/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/>
      <c r="S70" s="108"/>
      <c r="T70" s="145">
        <v>56905.344148760007</v>
      </c>
      <c r="U70" s="23">
        <f t="shared" si="8"/>
        <v>1</v>
      </c>
      <c r="V70" s="1" t="s">
        <v>146</v>
      </c>
    </row>
    <row r="71" spans="1:22" x14ac:dyDescent="0.25">
      <c r="A71" s="102">
        <f t="shared" si="9"/>
        <v>54</v>
      </c>
      <c r="B71" s="101">
        <f t="shared" si="10"/>
        <v>54</v>
      </c>
      <c r="C71" s="73" t="s">
        <v>51</v>
      </c>
      <c r="D71" s="73" t="s">
        <v>395</v>
      </c>
      <c r="E71" s="100">
        <f t="shared" si="7"/>
        <v>4592465.8816174399</v>
      </c>
      <c r="F71" s="107">
        <v>2728315.47</v>
      </c>
      <c r="G71" s="107">
        <v>1047486.37</v>
      </c>
      <c r="H71" s="107">
        <v>607322.06000000006</v>
      </c>
      <c r="I71" s="107"/>
      <c r="J71" s="107"/>
      <c r="K71" s="107"/>
      <c r="L71" s="107"/>
      <c r="M71" s="107">
        <v>0</v>
      </c>
      <c r="N71" s="107">
        <v>0</v>
      </c>
      <c r="O71" s="107">
        <v>0</v>
      </c>
      <c r="P71" s="107">
        <v>0</v>
      </c>
      <c r="Q71" s="107">
        <v>0</v>
      </c>
      <c r="R71" s="107"/>
      <c r="S71" s="108"/>
      <c r="T71" s="145">
        <v>209341.98161743997</v>
      </c>
      <c r="U71" s="23">
        <f t="shared" si="8"/>
        <v>3</v>
      </c>
    </row>
    <row r="72" spans="1:22" x14ac:dyDescent="0.25">
      <c r="A72" s="102">
        <f t="shared" si="9"/>
        <v>55</v>
      </c>
      <c r="B72" s="101">
        <f t="shared" si="10"/>
        <v>55</v>
      </c>
      <c r="C72" s="73" t="s">
        <v>51</v>
      </c>
      <c r="D72" s="73" t="s">
        <v>396</v>
      </c>
      <c r="E72" s="100">
        <f t="shared" si="7"/>
        <v>3114149.7142166197</v>
      </c>
      <c r="F72" s="107"/>
      <c r="G72" s="107">
        <v>0</v>
      </c>
      <c r="H72" s="107"/>
      <c r="I72" s="107">
        <v>2223078.38</v>
      </c>
      <c r="J72" s="107">
        <v>0</v>
      </c>
      <c r="K72" s="107"/>
      <c r="L72" s="107"/>
      <c r="M72" s="107">
        <v>0</v>
      </c>
      <c r="N72" s="107"/>
      <c r="O72" s="107">
        <v>0</v>
      </c>
      <c r="P72" s="107"/>
      <c r="Q72" s="107">
        <v>0</v>
      </c>
      <c r="R72" s="107"/>
      <c r="S72" s="108"/>
      <c r="T72" s="145">
        <v>891071.33421662007</v>
      </c>
      <c r="U72" s="23">
        <f t="shared" si="8"/>
        <v>1</v>
      </c>
      <c r="V72" s="1" t="s">
        <v>146</v>
      </c>
    </row>
    <row r="73" spans="1:22" x14ac:dyDescent="0.25">
      <c r="A73" s="102">
        <f t="shared" si="9"/>
        <v>56</v>
      </c>
      <c r="B73" s="101">
        <f t="shared" si="10"/>
        <v>56</v>
      </c>
      <c r="C73" s="73" t="s">
        <v>51</v>
      </c>
      <c r="D73" s="73" t="s">
        <v>397</v>
      </c>
      <c r="E73" s="100">
        <f t="shared" si="7"/>
        <v>3385337.9774930598</v>
      </c>
      <c r="F73" s="107"/>
      <c r="G73" s="107">
        <v>0</v>
      </c>
      <c r="H73" s="107"/>
      <c r="I73" s="107"/>
      <c r="J73" s="107">
        <v>0</v>
      </c>
      <c r="K73" s="107"/>
      <c r="L73" s="107"/>
      <c r="M73" s="107">
        <v>0</v>
      </c>
      <c r="N73" s="107">
        <v>2845906.28</v>
      </c>
      <c r="O73" s="107">
        <v>0</v>
      </c>
      <c r="P73" s="107"/>
      <c r="Q73" s="107">
        <v>0</v>
      </c>
      <c r="R73" s="107"/>
      <c r="S73" s="108"/>
      <c r="T73" s="145">
        <v>539431.69749306003</v>
      </c>
      <c r="U73" s="23">
        <f t="shared" si="8"/>
        <v>1</v>
      </c>
    </row>
    <row r="74" spans="1:22" x14ac:dyDescent="0.25">
      <c r="A74" s="102">
        <f t="shared" si="9"/>
        <v>57</v>
      </c>
      <c r="B74" s="101">
        <f t="shared" si="10"/>
        <v>57</v>
      </c>
      <c r="C74" s="73" t="s">
        <v>51</v>
      </c>
      <c r="D74" s="73" t="s">
        <v>398</v>
      </c>
      <c r="E74" s="100">
        <f t="shared" si="7"/>
        <v>6382437.5058791805</v>
      </c>
      <c r="F74" s="107"/>
      <c r="G74" s="107">
        <v>0</v>
      </c>
      <c r="H74" s="144"/>
      <c r="I74" s="144"/>
      <c r="J74" s="107">
        <v>0</v>
      </c>
      <c r="K74" s="107"/>
      <c r="L74" s="107"/>
      <c r="M74" s="107">
        <v>0</v>
      </c>
      <c r="N74" s="107">
        <v>3018526.85</v>
      </c>
      <c r="O74" s="107">
        <v>0</v>
      </c>
      <c r="P74" s="107"/>
      <c r="Q74" s="107">
        <v>0</v>
      </c>
      <c r="R74" s="107">
        <v>2550189.8570000003</v>
      </c>
      <c r="S74" s="108">
        <f>278424.5693</f>
        <v>278424.56929999997</v>
      </c>
      <c r="T74" s="145">
        <v>535296.22957918001</v>
      </c>
      <c r="U74" s="23">
        <f t="shared" si="8"/>
        <v>1</v>
      </c>
      <c r="V74" s="1" t="s">
        <v>146</v>
      </c>
    </row>
    <row r="75" spans="1:22" x14ac:dyDescent="0.25">
      <c r="A75" s="102">
        <f t="shared" si="9"/>
        <v>58</v>
      </c>
      <c r="B75" s="101">
        <f t="shared" si="10"/>
        <v>58</v>
      </c>
      <c r="C75" s="73" t="s">
        <v>51</v>
      </c>
      <c r="D75" s="73" t="s">
        <v>399</v>
      </c>
      <c r="E75" s="100">
        <f t="shared" si="7"/>
        <v>9734596.8718827199</v>
      </c>
      <c r="F75" s="107"/>
      <c r="G75" s="107"/>
      <c r="H75" s="107"/>
      <c r="I75" s="107"/>
      <c r="J75" s="107">
        <v>0</v>
      </c>
      <c r="K75" s="107"/>
      <c r="L75" s="107"/>
      <c r="M75" s="107">
        <v>0</v>
      </c>
      <c r="N75" s="107">
        <v>0</v>
      </c>
      <c r="O75" s="107">
        <v>0</v>
      </c>
      <c r="P75" s="107">
        <v>9311700.5</v>
      </c>
      <c r="Q75" s="107">
        <v>0</v>
      </c>
      <c r="R75" s="107"/>
      <c r="S75" s="108"/>
      <c r="T75" s="145">
        <v>422896.37188271998</v>
      </c>
      <c r="U75" s="23">
        <f t="shared" si="8"/>
        <v>1</v>
      </c>
    </row>
    <row r="76" spans="1:22" x14ac:dyDescent="0.25">
      <c r="A76" s="102">
        <f t="shared" si="9"/>
        <v>59</v>
      </c>
      <c r="B76" s="101">
        <f t="shared" si="10"/>
        <v>59</v>
      </c>
      <c r="C76" s="73" t="s">
        <v>51</v>
      </c>
      <c r="D76" s="73" t="s">
        <v>400</v>
      </c>
      <c r="E76" s="100">
        <f t="shared" si="7"/>
        <v>34443200.645936362</v>
      </c>
      <c r="F76" s="107">
        <v>6954265.3799999999</v>
      </c>
      <c r="G76" s="107">
        <v>2374323.58</v>
      </c>
      <c r="H76" s="107">
        <v>3305645.72</v>
      </c>
      <c r="I76" s="107">
        <v>2650517.1800000002</v>
      </c>
      <c r="J76" s="107"/>
      <c r="K76" s="107"/>
      <c r="L76" s="107"/>
      <c r="M76" s="107"/>
      <c r="N76" s="107">
        <v>7951460.7199999997</v>
      </c>
      <c r="O76" s="107"/>
      <c r="P76" s="107"/>
      <c r="Q76" s="107">
        <v>9695977.5800000001</v>
      </c>
      <c r="R76" s="107">
        <v>328083.39630000002</v>
      </c>
      <c r="S76" s="108">
        <v>44553.206300000005</v>
      </c>
      <c r="T76" s="145">
        <v>1138373.8833363601</v>
      </c>
      <c r="U76" s="23">
        <f t="shared" si="8"/>
        <v>6</v>
      </c>
      <c r="V76" s="1" t="s">
        <v>149</v>
      </c>
    </row>
    <row r="77" spans="1:22" x14ac:dyDescent="0.25">
      <c r="A77" s="102">
        <f t="shared" si="9"/>
        <v>60</v>
      </c>
      <c r="B77" s="101">
        <f t="shared" si="10"/>
        <v>60</v>
      </c>
      <c r="C77" s="73" t="s">
        <v>51</v>
      </c>
      <c r="D77" s="73" t="s">
        <v>401</v>
      </c>
      <c r="E77" s="100">
        <f t="shared" si="7"/>
        <v>1171020.99</v>
      </c>
      <c r="F77" s="107"/>
      <c r="G77" s="107">
        <v>0</v>
      </c>
      <c r="H77" s="107">
        <v>0</v>
      </c>
      <c r="I77" s="107">
        <v>0</v>
      </c>
      <c r="J77" s="107">
        <v>1171020.99</v>
      </c>
      <c r="K77" s="107"/>
      <c r="L77" s="107"/>
      <c r="M77" s="107">
        <v>0</v>
      </c>
      <c r="N77" s="107"/>
      <c r="O77" s="107">
        <v>0</v>
      </c>
      <c r="P77" s="107"/>
      <c r="Q77" s="107"/>
      <c r="R77" s="107"/>
      <c r="S77" s="108"/>
      <c r="T77" s="145"/>
      <c r="U77" s="23">
        <f t="shared" si="8"/>
        <v>1</v>
      </c>
    </row>
    <row r="78" spans="1:22" x14ac:dyDescent="0.25">
      <c r="A78" s="102">
        <f t="shared" si="9"/>
        <v>61</v>
      </c>
      <c r="B78" s="101">
        <f t="shared" si="10"/>
        <v>61</v>
      </c>
      <c r="C78" s="73" t="s">
        <v>51</v>
      </c>
      <c r="D78" s="73" t="s">
        <v>402</v>
      </c>
      <c r="E78" s="100">
        <f t="shared" si="7"/>
        <v>20719813.758428805</v>
      </c>
      <c r="F78" s="107">
        <v>7847760.9900000002</v>
      </c>
      <c r="G78" s="107"/>
      <c r="H78" s="107"/>
      <c r="I78" s="107"/>
      <c r="J78" s="107"/>
      <c r="K78" s="107"/>
      <c r="L78" s="107"/>
      <c r="M78" s="107">
        <v>0</v>
      </c>
      <c r="N78" s="107">
        <v>0</v>
      </c>
      <c r="O78" s="107">
        <v>0</v>
      </c>
      <c r="P78" s="107">
        <v>0</v>
      </c>
      <c r="Q78" s="107">
        <f>7597182.26+3870122.95</f>
        <v>11467305.210000001</v>
      </c>
      <c r="R78" s="107">
        <v>504570.49899999995</v>
      </c>
      <c r="S78" s="108">
        <v>88504.399000000005</v>
      </c>
      <c r="T78" s="145">
        <v>811672.66042880015</v>
      </c>
      <c r="U78" s="23">
        <f t="shared" si="8"/>
        <v>2</v>
      </c>
      <c r="V78" s="1" t="s">
        <v>149</v>
      </c>
    </row>
    <row r="79" spans="1:22" x14ac:dyDescent="0.25">
      <c r="A79" s="102">
        <f t="shared" si="9"/>
        <v>62</v>
      </c>
      <c r="B79" s="101">
        <f t="shared" si="10"/>
        <v>62</v>
      </c>
      <c r="C79" s="73" t="s">
        <v>51</v>
      </c>
      <c r="D79" s="73" t="s">
        <v>403</v>
      </c>
      <c r="E79" s="100">
        <f t="shared" si="7"/>
        <v>15568933.82189</v>
      </c>
      <c r="F79" s="107">
        <v>0</v>
      </c>
      <c r="G79" s="107">
        <v>0</v>
      </c>
      <c r="H79" s="107">
        <v>0</v>
      </c>
      <c r="I79" s="107">
        <v>0</v>
      </c>
      <c r="J79" s="107"/>
      <c r="K79" s="107"/>
      <c r="L79" s="107"/>
      <c r="M79" s="107">
        <v>0</v>
      </c>
      <c r="N79" s="107">
        <v>0</v>
      </c>
      <c r="O79" s="107">
        <v>0</v>
      </c>
      <c r="P79" s="107">
        <v>15562524.65</v>
      </c>
      <c r="Q79" s="107">
        <v>0</v>
      </c>
      <c r="R79" s="107"/>
      <c r="S79" s="108"/>
      <c r="T79" s="145">
        <v>6409.1718899999996</v>
      </c>
      <c r="U79" s="23">
        <f t="shared" si="8"/>
        <v>1</v>
      </c>
    </row>
    <row r="80" spans="1:22" x14ac:dyDescent="0.25">
      <c r="A80" s="102">
        <f t="shared" si="9"/>
        <v>63</v>
      </c>
      <c r="B80" s="101">
        <f t="shared" si="10"/>
        <v>63</v>
      </c>
      <c r="C80" s="73" t="s">
        <v>51</v>
      </c>
      <c r="D80" s="73" t="s">
        <v>404</v>
      </c>
      <c r="E80" s="100">
        <f t="shared" si="7"/>
        <v>14757670.589566819</v>
      </c>
      <c r="F80" s="107"/>
      <c r="G80" s="107"/>
      <c r="H80" s="107">
        <v>1212218.3400000001</v>
      </c>
      <c r="I80" s="107"/>
      <c r="J80" s="107"/>
      <c r="K80" s="107"/>
      <c r="L80" s="107"/>
      <c r="M80" s="107">
        <v>0</v>
      </c>
      <c r="N80" s="107"/>
      <c r="O80" s="107">
        <v>0</v>
      </c>
      <c r="P80" s="107">
        <v>12904791.25</v>
      </c>
      <c r="Q80" s="107"/>
      <c r="R80" s="107"/>
      <c r="S80" s="108"/>
      <c r="T80" s="145">
        <v>640660.99956681998</v>
      </c>
      <c r="U80" s="23">
        <f t="shared" si="8"/>
        <v>2</v>
      </c>
    </row>
    <row r="81" spans="1:22" x14ac:dyDescent="0.25">
      <c r="A81" s="102">
        <f t="shared" si="9"/>
        <v>64</v>
      </c>
      <c r="B81" s="101">
        <f t="shared" si="10"/>
        <v>64</v>
      </c>
      <c r="C81" s="73" t="s">
        <v>51</v>
      </c>
      <c r="D81" s="73" t="s">
        <v>405</v>
      </c>
      <c r="E81" s="100">
        <f t="shared" si="7"/>
        <v>14905757.105931221</v>
      </c>
      <c r="F81" s="107"/>
      <c r="G81" s="107"/>
      <c r="H81" s="107">
        <v>1218340.6599999999</v>
      </c>
      <c r="I81" s="107"/>
      <c r="J81" s="107"/>
      <c r="K81" s="107"/>
      <c r="L81" s="107"/>
      <c r="M81" s="107">
        <v>0</v>
      </c>
      <c r="N81" s="107"/>
      <c r="O81" s="107">
        <v>0</v>
      </c>
      <c r="P81" s="107">
        <v>13044527.99</v>
      </c>
      <c r="Q81" s="107"/>
      <c r="R81" s="107"/>
      <c r="S81" s="108"/>
      <c r="T81" s="145">
        <v>642888.45593122009</v>
      </c>
      <c r="U81" s="23">
        <f t="shared" si="8"/>
        <v>2</v>
      </c>
      <c r="V81" s="1" t="s">
        <v>146</v>
      </c>
    </row>
    <row r="82" spans="1:22" x14ac:dyDescent="0.25">
      <c r="A82" s="102">
        <f t="shared" si="9"/>
        <v>65</v>
      </c>
      <c r="B82" s="101">
        <f t="shared" si="10"/>
        <v>65</v>
      </c>
      <c r="C82" s="73" t="s">
        <v>51</v>
      </c>
      <c r="D82" s="73" t="s">
        <v>216</v>
      </c>
      <c r="E82" s="100">
        <f t="shared" ref="E82:E113" si="11">SUBTOTAL(9,F82:T82)</f>
        <v>9499544.7837941013</v>
      </c>
      <c r="F82" s="107">
        <v>6542286.3200000003</v>
      </c>
      <c r="G82" s="107">
        <v>0</v>
      </c>
      <c r="H82" s="107">
        <v>1697416.27</v>
      </c>
      <c r="I82" s="107">
        <v>0</v>
      </c>
      <c r="J82" s="107"/>
      <c r="K82" s="107"/>
      <c r="L82" s="107"/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937979.59060000011</v>
      </c>
      <c r="S82" s="108">
        <v>109643.86790000001</v>
      </c>
      <c r="T82" s="145">
        <v>212218.73529410001</v>
      </c>
      <c r="U82" s="23">
        <f t="shared" ref="U82:U113" si="12">COUNTIF(F82:Q82,"&gt;0")</f>
        <v>2</v>
      </c>
    </row>
    <row r="83" spans="1:22" x14ac:dyDescent="0.25">
      <c r="A83" s="102">
        <f t="shared" ref="A83:A114" si="13">+A82+1</f>
        <v>66</v>
      </c>
      <c r="B83" s="101">
        <f t="shared" ref="B83:B114" si="14">+B82+1</f>
        <v>66</v>
      </c>
      <c r="C83" s="73" t="s">
        <v>51</v>
      </c>
      <c r="D83" s="73" t="s">
        <v>406</v>
      </c>
      <c r="E83" s="100">
        <f t="shared" si="11"/>
        <v>6122093.3446254004</v>
      </c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>
        <v>5951792.4900000002</v>
      </c>
      <c r="R83" s="107"/>
      <c r="S83" s="108"/>
      <c r="T83" s="145">
        <v>170300.85462540001</v>
      </c>
      <c r="U83" s="23">
        <f t="shared" si="12"/>
        <v>1</v>
      </c>
    </row>
    <row r="84" spans="1:22" x14ac:dyDescent="0.25">
      <c r="A84" s="102">
        <f t="shared" si="13"/>
        <v>67</v>
      </c>
      <c r="B84" s="101">
        <f t="shared" si="14"/>
        <v>67</v>
      </c>
      <c r="C84" s="73" t="s">
        <v>51</v>
      </c>
      <c r="D84" s="73" t="s">
        <v>407</v>
      </c>
      <c r="E84" s="100">
        <f t="shared" si="11"/>
        <v>13180476.834345801</v>
      </c>
      <c r="F84" s="107"/>
      <c r="G84" s="107"/>
      <c r="H84" s="107"/>
      <c r="I84" s="107"/>
      <c r="J84" s="107"/>
      <c r="K84" s="107"/>
      <c r="L84" s="107"/>
      <c r="M84" s="107"/>
      <c r="N84" s="107">
        <v>8640336.7400000002</v>
      </c>
      <c r="O84" s="107"/>
      <c r="P84" s="107"/>
      <c r="Q84" s="107">
        <v>4367516.82</v>
      </c>
      <c r="R84" s="107"/>
      <c r="S84" s="108"/>
      <c r="T84" s="145">
        <v>172623.27434580002</v>
      </c>
      <c r="U84" s="23">
        <f t="shared" si="12"/>
        <v>2</v>
      </c>
    </row>
    <row r="85" spans="1:22" x14ac:dyDescent="0.25">
      <c r="A85" s="102">
        <f t="shared" si="13"/>
        <v>68</v>
      </c>
      <c r="B85" s="101">
        <f t="shared" si="14"/>
        <v>68</v>
      </c>
      <c r="C85" s="73" t="s">
        <v>51</v>
      </c>
      <c r="D85" s="73" t="s">
        <v>408</v>
      </c>
      <c r="E85" s="100">
        <f t="shared" si="11"/>
        <v>6961640.1664998997</v>
      </c>
      <c r="F85" s="107"/>
      <c r="G85" s="107"/>
      <c r="H85" s="107"/>
      <c r="I85" s="107"/>
      <c r="J85" s="107"/>
      <c r="K85" s="107"/>
      <c r="L85" s="107"/>
      <c r="M85" s="107">
        <v>0</v>
      </c>
      <c r="N85" s="107"/>
      <c r="O85" s="107">
        <v>0</v>
      </c>
      <c r="P85" s="107"/>
      <c r="Q85" s="107">
        <v>6748339.8099999996</v>
      </c>
      <c r="R85" s="107"/>
      <c r="S85" s="108"/>
      <c r="T85" s="145">
        <v>213300.35649990002</v>
      </c>
      <c r="U85" s="23">
        <f t="shared" si="12"/>
        <v>1</v>
      </c>
    </row>
    <row r="86" spans="1:22" x14ac:dyDescent="0.25">
      <c r="A86" s="102">
        <f t="shared" si="13"/>
        <v>69</v>
      </c>
      <c r="B86" s="101">
        <f t="shared" si="14"/>
        <v>69</v>
      </c>
      <c r="C86" s="73" t="s">
        <v>51</v>
      </c>
      <c r="D86" s="73" t="s">
        <v>409</v>
      </c>
      <c r="E86" s="100">
        <f t="shared" si="11"/>
        <v>31419194.676773801</v>
      </c>
      <c r="F86" s="107">
        <v>9954639.8599999994</v>
      </c>
      <c r="G86" s="107">
        <v>6212728.6200000001</v>
      </c>
      <c r="H86" s="107"/>
      <c r="I86" s="107">
        <v>4876418.04</v>
      </c>
      <c r="J86" s="107"/>
      <c r="K86" s="107"/>
      <c r="L86" s="107"/>
      <c r="M86" s="107">
        <v>0</v>
      </c>
      <c r="N86" s="107">
        <v>9984420.9700000007</v>
      </c>
      <c r="O86" s="107">
        <v>0</v>
      </c>
      <c r="P86" s="107"/>
      <c r="Q86" s="107"/>
      <c r="R86" s="107"/>
      <c r="S86" s="108"/>
      <c r="T86" s="145">
        <v>390987.18677379994</v>
      </c>
      <c r="U86" s="23">
        <f t="shared" si="12"/>
        <v>4</v>
      </c>
      <c r="V86" s="1" t="s">
        <v>146</v>
      </c>
    </row>
    <row r="87" spans="1:22" s="34" customFormat="1" x14ac:dyDescent="0.25">
      <c r="A87" s="102">
        <f t="shared" si="13"/>
        <v>70</v>
      </c>
      <c r="B87" s="101">
        <f t="shared" si="14"/>
        <v>70</v>
      </c>
      <c r="C87" s="73" t="s">
        <v>51</v>
      </c>
      <c r="D87" s="73" t="s">
        <v>410</v>
      </c>
      <c r="E87" s="100">
        <f t="shared" si="11"/>
        <v>9021353.7382023316</v>
      </c>
      <c r="F87" s="123"/>
      <c r="G87" s="123"/>
      <c r="H87" s="123"/>
      <c r="I87" s="123"/>
      <c r="J87" s="123"/>
      <c r="K87" s="123"/>
      <c r="L87" s="123"/>
      <c r="M87" s="123">
        <v>8608489.9199999999</v>
      </c>
      <c r="N87" s="123"/>
      <c r="O87" s="123"/>
      <c r="P87" s="123"/>
      <c r="Q87" s="123"/>
      <c r="R87" s="123">
        <v>162285.00531609598</v>
      </c>
      <c r="S87" s="123">
        <v>24000</v>
      </c>
      <c r="T87" s="123">
        <v>226578.81288623557</v>
      </c>
      <c r="U87" s="23">
        <f t="shared" si="12"/>
        <v>1</v>
      </c>
    </row>
    <row r="88" spans="1:22" x14ac:dyDescent="0.25">
      <c r="A88" s="102">
        <f t="shared" si="13"/>
        <v>71</v>
      </c>
      <c r="B88" s="101">
        <f t="shared" si="14"/>
        <v>71</v>
      </c>
      <c r="C88" s="73" t="s">
        <v>51</v>
      </c>
      <c r="D88" s="73" t="s">
        <v>411</v>
      </c>
      <c r="E88" s="100">
        <f t="shared" si="11"/>
        <v>29481765.911612157</v>
      </c>
      <c r="F88" s="107">
        <v>0</v>
      </c>
      <c r="G88" s="107">
        <v>0</v>
      </c>
      <c r="H88" s="107"/>
      <c r="I88" s="107">
        <v>0</v>
      </c>
      <c r="J88" s="107">
        <v>0</v>
      </c>
      <c r="K88" s="107"/>
      <c r="L88" s="107"/>
      <c r="M88" s="107">
        <v>0</v>
      </c>
      <c r="N88" s="107">
        <v>12527051.33</v>
      </c>
      <c r="O88" s="107">
        <v>0</v>
      </c>
      <c r="P88" s="107">
        <v>16115638.25</v>
      </c>
      <c r="Q88" s="107">
        <v>0</v>
      </c>
      <c r="R88" s="107"/>
      <c r="S88" s="108"/>
      <c r="T88" s="145">
        <v>839076.3316121602</v>
      </c>
      <c r="U88" s="23">
        <f t="shared" si="12"/>
        <v>2</v>
      </c>
    </row>
    <row r="89" spans="1:22" x14ac:dyDescent="0.25">
      <c r="A89" s="102">
        <f t="shared" si="13"/>
        <v>72</v>
      </c>
      <c r="B89" s="101">
        <f t="shared" si="14"/>
        <v>72</v>
      </c>
      <c r="C89" s="73" t="s">
        <v>51</v>
      </c>
      <c r="D89" s="73" t="s">
        <v>172</v>
      </c>
      <c r="E89" s="100">
        <f t="shared" si="11"/>
        <v>1195255.9053653199</v>
      </c>
      <c r="F89" s="107"/>
      <c r="G89" s="144"/>
      <c r="H89" s="107">
        <v>1057009.1599999999</v>
      </c>
      <c r="I89" s="107"/>
      <c r="J89" s="107">
        <v>0</v>
      </c>
      <c r="K89" s="107"/>
      <c r="L89" s="107"/>
      <c r="M89" s="107">
        <v>0</v>
      </c>
      <c r="N89" s="144"/>
      <c r="O89" s="107">
        <v>0</v>
      </c>
      <c r="P89" s="107">
        <v>0</v>
      </c>
      <c r="Q89" s="107">
        <v>0</v>
      </c>
      <c r="R89" s="107"/>
      <c r="S89" s="108"/>
      <c r="T89" s="145">
        <v>138246.74536532001</v>
      </c>
      <c r="U89" s="23">
        <f t="shared" si="12"/>
        <v>1</v>
      </c>
    </row>
    <row r="90" spans="1:22" x14ac:dyDescent="0.25">
      <c r="A90" s="102">
        <f t="shared" si="13"/>
        <v>73</v>
      </c>
      <c r="B90" s="101">
        <f t="shared" si="14"/>
        <v>73</v>
      </c>
      <c r="C90" s="73" t="s">
        <v>51</v>
      </c>
      <c r="D90" s="73" t="s">
        <v>412</v>
      </c>
      <c r="E90" s="100">
        <f t="shared" si="11"/>
        <v>5574102.9828846604</v>
      </c>
      <c r="F90" s="107">
        <v>1651323.46</v>
      </c>
      <c r="G90" s="107"/>
      <c r="H90" s="107">
        <v>819773.26</v>
      </c>
      <c r="I90" s="107">
        <v>732192.34</v>
      </c>
      <c r="J90" s="107"/>
      <c r="K90" s="107"/>
      <c r="L90" s="107"/>
      <c r="M90" s="107">
        <v>0</v>
      </c>
      <c r="N90" s="107"/>
      <c r="O90" s="107">
        <v>0</v>
      </c>
      <c r="P90" s="107">
        <v>1813665.02</v>
      </c>
      <c r="Q90" s="107">
        <v>0</v>
      </c>
      <c r="R90" s="107"/>
      <c r="S90" s="108"/>
      <c r="T90" s="145">
        <v>557148.90288465994</v>
      </c>
      <c r="U90" s="23">
        <f t="shared" si="12"/>
        <v>4</v>
      </c>
    </row>
    <row r="91" spans="1:22" x14ac:dyDescent="0.25">
      <c r="A91" s="102">
        <f t="shared" si="13"/>
        <v>74</v>
      </c>
      <c r="B91" s="101">
        <f t="shared" si="14"/>
        <v>74</v>
      </c>
      <c r="C91" s="73" t="s">
        <v>51</v>
      </c>
      <c r="D91" s="73" t="s">
        <v>413</v>
      </c>
      <c r="E91" s="100">
        <f t="shared" si="11"/>
        <v>2006872.7686219998</v>
      </c>
      <c r="F91" s="107">
        <v>0</v>
      </c>
      <c r="G91" s="107">
        <v>0</v>
      </c>
      <c r="H91" s="107">
        <v>0</v>
      </c>
      <c r="I91" s="107">
        <v>0</v>
      </c>
      <c r="J91" s="107">
        <v>1842675.65</v>
      </c>
      <c r="K91" s="107"/>
      <c r="L91" s="107"/>
      <c r="M91" s="107">
        <v>0</v>
      </c>
      <c r="N91" s="107">
        <v>0</v>
      </c>
      <c r="O91" s="107">
        <v>0</v>
      </c>
      <c r="P91" s="107">
        <v>0</v>
      </c>
      <c r="Q91" s="107">
        <v>0</v>
      </c>
      <c r="R91" s="107">
        <v>123984.47</v>
      </c>
      <c r="S91" s="107"/>
      <c r="T91" s="145">
        <v>40212.648622000001</v>
      </c>
      <c r="U91" s="23">
        <f t="shared" si="12"/>
        <v>1</v>
      </c>
    </row>
    <row r="92" spans="1:22" x14ac:dyDescent="0.25">
      <c r="A92" s="102">
        <f t="shared" si="13"/>
        <v>75</v>
      </c>
      <c r="B92" s="101">
        <f t="shared" si="14"/>
        <v>75</v>
      </c>
      <c r="C92" s="73" t="s">
        <v>51</v>
      </c>
      <c r="D92" s="73" t="s">
        <v>414</v>
      </c>
      <c r="E92" s="100">
        <f t="shared" si="11"/>
        <v>2008071.8906700001</v>
      </c>
      <c r="F92" s="107">
        <v>0</v>
      </c>
      <c r="G92" s="107">
        <v>0</v>
      </c>
      <c r="H92" s="107">
        <v>0</v>
      </c>
      <c r="I92" s="107">
        <v>0</v>
      </c>
      <c r="J92" s="107">
        <v>1840005.31</v>
      </c>
      <c r="K92" s="107"/>
      <c r="L92" s="107"/>
      <c r="M92" s="107">
        <v>0</v>
      </c>
      <c r="N92" s="107">
        <v>0</v>
      </c>
      <c r="O92" s="107">
        <v>0</v>
      </c>
      <c r="P92" s="107">
        <v>0</v>
      </c>
      <c r="Q92" s="107">
        <v>0</v>
      </c>
      <c r="R92" s="107">
        <v>127902.76</v>
      </c>
      <c r="S92" s="107"/>
      <c r="T92" s="145">
        <v>40163.820670000001</v>
      </c>
      <c r="U92" s="23">
        <f t="shared" si="12"/>
        <v>1</v>
      </c>
    </row>
    <row r="93" spans="1:22" x14ac:dyDescent="0.25">
      <c r="A93" s="102">
        <f t="shared" si="13"/>
        <v>76</v>
      </c>
      <c r="B93" s="101">
        <f t="shared" si="14"/>
        <v>76</v>
      </c>
      <c r="C93" s="73" t="s">
        <v>51</v>
      </c>
      <c r="D93" s="73" t="s">
        <v>415</v>
      </c>
      <c r="E93" s="100">
        <f t="shared" si="11"/>
        <v>2179061.4200000004</v>
      </c>
      <c r="F93" s="107">
        <v>0</v>
      </c>
      <c r="G93" s="107">
        <v>0</v>
      </c>
      <c r="H93" s="107">
        <v>0</v>
      </c>
      <c r="I93" s="107">
        <v>0</v>
      </c>
      <c r="J93" s="107">
        <v>1980515.44</v>
      </c>
      <c r="K93" s="107"/>
      <c r="L93" s="107"/>
      <c r="M93" s="107">
        <v>0</v>
      </c>
      <c r="N93" s="107"/>
      <c r="O93" s="107">
        <v>0</v>
      </c>
      <c r="P93" s="107">
        <v>0</v>
      </c>
      <c r="Q93" s="107"/>
      <c r="R93" s="107">
        <v>123857.99</v>
      </c>
      <c r="S93" s="108"/>
      <c r="T93" s="145">
        <v>74687.990000000005</v>
      </c>
      <c r="U93" s="23">
        <f t="shared" si="12"/>
        <v>1</v>
      </c>
    </row>
    <row r="94" spans="1:22" x14ac:dyDescent="0.25">
      <c r="A94" s="102">
        <f t="shared" si="13"/>
        <v>77</v>
      </c>
      <c r="B94" s="101">
        <f t="shared" si="14"/>
        <v>77</v>
      </c>
      <c r="C94" s="73" t="s">
        <v>51</v>
      </c>
      <c r="D94" s="73" t="s">
        <v>416</v>
      </c>
      <c r="E94" s="100">
        <f t="shared" si="11"/>
        <v>856186.02</v>
      </c>
      <c r="F94" s="107">
        <v>0</v>
      </c>
      <c r="G94" s="107">
        <v>0</v>
      </c>
      <c r="H94" s="107">
        <v>0</v>
      </c>
      <c r="I94" s="107">
        <v>0</v>
      </c>
      <c r="J94" s="107">
        <v>856186.02</v>
      </c>
      <c r="K94" s="107"/>
      <c r="L94" s="107"/>
      <c r="M94" s="107">
        <v>0</v>
      </c>
      <c r="N94" s="107">
        <v>0</v>
      </c>
      <c r="O94" s="107">
        <v>0</v>
      </c>
      <c r="P94" s="107"/>
      <c r="Q94" s="107"/>
      <c r="R94" s="107"/>
      <c r="S94" s="108"/>
      <c r="T94" s="145"/>
      <c r="U94" s="23">
        <f t="shared" si="12"/>
        <v>1</v>
      </c>
    </row>
    <row r="95" spans="1:22" x14ac:dyDescent="0.25">
      <c r="A95" s="102">
        <f t="shared" si="13"/>
        <v>78</v>
      </c>
      <c r="B95" s="101">
        <f t="shared" si="14"/>
        <v>78</v>
      </c>
      <c r="C95" s="73" t="s">
        <v>51</v>
      </c>
      <c r="D95" s="73" t="s">
        <v>417</v>
      </c>
      <c r="E95" s="100">
        <f t="shared" si="11"/>
        <v>2296257.4311860004</v>
      </c>
      <c r="F95" s="107">
        <v>0</v>
      </c>
      <c r="G95" s="107">
        <v>0</v>
      </c>
      <c r="H95" s="107"/>
      <c r="I95" s="107">
        <v>0</v>
      </c>
      <c r="J95" s="107">
        <v>2082908.19</v>
      </c>
      <c r="K95" s="107"/>
      <c r="L95" s="107"/>
      <c r="M95" s="107">
        <v>0</v>
      </c>
      <c r="N95" s="107">
        <v>0</v>
      </c>
      <c r="O95" s="107">
        <v>0</v>
      </c>
      <c r="P95" s="107">
        <v>0</v>
      </c>
      <c r="Q95" s="107">
        <v>0</v>
      </c>
      <c r="R95" s="107">
        <v>199499.01</v>
      </c>
      <c r="S95" s="108">
        <v>2000</v>
      </c>
      <c r="T95" s="145">
        <v>11850.231185999999</v>
      </c>
      <c r="U95" s="23">
        <f t="shared" si="12"/>
        <v>1</v>
      </c>
      <c r="V95" s="1" t="s">
        <v>149</v>
      </c>
    </row>
    <row r="96" spans="1:22" x14ac:dyDescent="0.25">
      <c r="A96" s="102">
        <f t="shared" si="13"/>
        <v>79</v>
      </c>
      <c r="B96" s="101">
        <f t="shared" si="14"/>
        <v>79</v>
      </c>
      <c r="C96" s="73" t="s">
        <v>51</v>
      </c>
      <c r="D96" s="73" t="s">
        <v>418</v>
      </c>
      <c r="E96" s="100">
        <f t="shared" si="11"/>
        <v>16801922.47724456</v>
      </c>
      <c r="F96" s="107">
        <v>8268601.6299999999</v>
      </c>
      <c r="G96" s="107"/>
      <c r="H96" s="107">
        <v>3198417.38</v>
      </c>
      <c r="I96" s="107">
        <v>2797224.34</v>
      </c>
      <c r="J96" s="107"/>
      <c r="K96" s="107"/>
      <c r="L96" s="107"/>
      <c r="M96" s="107">
        <v>0</v>
      </c>
      <c r="N96" s="107">
        <v>0</v>
      </c>
      <c r="O96" s="107">
        <v>0</v>
      </c>
      <c r="P96" s="107">
        <v>0</v>
      </c>
      <c r="Q96" s="107">
        <v>0</v>
      </c>
      <c r="R96" s="107">
        <v>1945255.4768000001</v>
      </c>
      <c r="S96" s="108">
        <v>203313.06280000001</v>
      </c>
      <c r="T96" s="145">
        <v>389110.58764456003</v>
      </c>
      <c r="U96" s="23">
        <f t="shared" si="12"/>
        <v>3</v>
      </c>
    </row>
    <row r="97" spans="1:22" x14ac:dyDescent="0.25">
      <c r="A97" s="102">
        <f t="shared" si="13"/>
        <v>80</v>
      </c>
      <c r="B97" s="101">
        <f t="shared" si="14"/>
        <v>80</v>
      </c>
      <c r="C97" s="73" t="s">
        <v>51</v>
      </c>
      <c r="D97" s="73" t="s">
        <v>419</v>
      </c>
      <c r="E97" s="100">
        <f t="shared" si="11"/>
        <v>6920739.4009156814</v>
      </c>
      <c r="F97" s="107">
        <v>0</v>
      </c>
      <c r="G97" s="107"/>
      <c r="H97" s="107">
        <v>3491728.21</v>
      </c>
      <c r="I97" s="107"/>
      <c r="J97" s="107"/>
      <c r="K97" s="107"/>
      <c r="L97" s="107"/>
      <c r="M97" s="107">
        <v>0</v>
      </c>
      <c r="N97" s="107">
        <v>0</v>
      </c>
      <c r="O97" s="107">
        <v>0</v>
      </c>
      <c r="P97" s="107">
        <v>0</v>
      </c>
      <c r="Q97" s="107"/>
      <c r="R97" s="107">
        <v>2595059.9045922239</v>
      </c>
      <c r="S97" s="108">
        <v>223901.30645922237</v>
      </c>
      <c r="T97" s="145">
        <v>610049.97986423504</v>
      </c>
      <c r="U97" s="23">
        <f t="shared" si="12"/>
        <v>1</v>
      </c>
    </row>
    <row r="98" spans="1:22" x14ac:dyDescent="0.25">
      <c r="A98" s="102">
        <f t="shared" si="13"/>
        <v>81</v>
      </c>
      <c r="B98" s="101">
        <f t="shared" si="14"/>
        <v>81</v>
      </c>
      <c r="C98" s="73" t="s">
        <v>51</v>
      </c>
      <c r="D98" s="73" t="s">
        <v>420</v>
      </c>
      <c r="E98" s="100">
        <f t="shared" si="11"/>
        <v>10029177.534309041</v>
      </c>
      <c r="F98" s="107">
        <v>2770302.4300000006</v>
      </c>
      <c r="G98" s="107"/>
      <c r="H98" s="107"/>
      <c r="I98" s="107"/>
      <c r="J98" s="107"/>
      <c r="K98" s="107"/>
      <c r="L98" s="107"/>
      <c r="M98" s="107">
        <v>0</v>
      </c>
      <c r="N98" s="107">
        <v>6779379.8200000003</v>
      </c>
      <c r="O98" s="107">
        <v>0</v>
      </c>
      <c r="P98" s="107">
        <v>0</v>
      </c>
      <c r="Q98" s="107">
        <v>0</v>
      </c>
      <c r="R98" s="107">
        <v>216012.79999999999</v>
      </c>
      <c r="S98" s="108">
        <v>24000</v>
      </c>
      <c r="T98" s="145">
        <v>239482.48430904001</v>
      </c>
      <c r="U98" s="23">
        <f t="shared" si="12"/>
        <v>2</v>
      </c>
    </row>
    <row r="99" spans="1:22" x14ac:dyDescent="0.25">
      <c r="A99" s="102">
        <f t="shared" si="13"/>
        <v>82</v>
      </c>
      <c r="B99" s="101">
        <f t="shared" si="14"/>
        <v>82</v>
      </c>
      <c r="C99" s="73" t="s">
        <v>51</v>
      </c>
      <c r="D99" s="73" t="s">
        <v>421</v>
      </c>
      <c r="E99" s="100">
        <f t="shared" si="11"/>
        <v>5379408.0875821002</v>
      </c>
      <c r="F99" s="107">
        <v>1643046.08</v>
      </c>
      <c r="G99" s="107"/>
      <c r="H99" s="107"/>
      <c r="I99" s="107"/>
      <c r="J99" s="107"/>
      <c r="K99" s="107"/>
      <c r="L99" s="107"/>
      <c r="M99" s="107">
        <v>0</v>
      </c>
      <c r="N99" s="107">
        <v>3461614.25</v>
      </c>
      <c r="O99" s="107">
        <v>0</v>
      </c>
      <c r="P99" s="107">
        <v>0</v>
      </c>
      <c r="Q99" s="107">
        <v>0</v>
      </c>
      <c r="R99" s="107">
        <v>156962.18</v>
      </c>
      <c r="S99" s="108">
        <v>24000</v>
      </c>
      <c r="T99" s="145">
        <v>93785.577582099999</v>
      </c>
      <c r="U99" s="23">
        <f t="shared" si="12"/>
        <v>2</v>
      </c>
    </row>
    <row r="100" spans="1:22" x14ac:dyDescent="0.25">
      <c r="A100" s="102">
        <f t="shared" si="13"/>
        <v>83</v>
      </c>
      <c r="B100" s="101">
        <f t="shared" si="14"/>
        <v>83</v>
      </c>
      <c r="C100" s="73" t="s">
        <v>51</v>
      </c>
      <c r="D100" s="73" t="s">
        <v>422</v>
      </c>
      <c r="E100" s="100">
        <f t="shared" si="11"/>
        <v>3305142.0224692803</v>
      </c>
      <c r="F100" s="107"/>
      <c r="G100" s="107"/>
      <c r="H100" s="107">
        <v>417598.24</v>
      </c>
      <c r="I100" s="107"/>
      <c r="J100" s="107"/>
      <c r="K100" s="107"/>
      <c r="L100" s="107"/>
      <c r="M100" s="107">
        <v>0</v>
      </c>
      <c r="N100" s="107">
        <v>2705657.8</v>
      </c>
      <c r="O100" s="107">
        <v>0</v>
      </c>
      <c r="P100" s="107">
        <v>0</v>
      </c>
      <c r="Q100" s="107">
        <v>0</v>
      </c>
      <c r="R100" s="107"/>
      <c r="S100" s="108"/>
      <c r="T100" s="145">
        <v>181885.98246928002</v>
      </c>
      <c r="U100" s="23">
        <f t="shared" si="12"/>
        <v>2</v>
      </c>
      <c r="V100" s="1" t="s">
        <v>146</v>
      </c>
    </row>
    <row r="101" spans="1:22" x14ac:dyDescent="0.25">
      <c r="A101" s="102">
        <f t="shared" si="13"/>
        <v>84</v>
      </c>
      <c r="B101" s="101">
        <f t="shared" si="14"/>
        <v>84</v>
      </c>
      <c r="C101" s="73" t="s">
        <v>51</v>
      </c>
      <c r="D101" s="73" t="s">
        <v>423</v>
      </c>
      <c r="E101" s="100">
        <f t="shared" si="11"/>
        <v>11237171.892672002</v>
      </c>
      <c r="F101" s="107">
        <v>6273586.1500000004</v>
      </c>
      <c r="G101" s="107"/>
      <c r="H101" s="107">
        <v>1824432.9</v>
      </c>
      <c r="I101" s="107">
        <v>2750949.97</v>
      </c>
      <c r="J101" s="107"/>
      <c r="K101" s="107"/>
      <c r="L101" s="107"/>
      <c r="M101" s="107">
        <v>0</v>
      </c>
      <c r="N101" s="107">
        <v>0</v>
      </c>
      <c r="O101" s="107">
        <v>0</v>
      </c>
      <c r="P101" s="107">
        <v>0</v>
      </c>
      <c r="Q101" s="107">
        <v>0</v>
      </c>
      <c r="R101" s="107">
        <v>75835.89</v>
      </c>
      <c r="S101" s="108">
        <v>18000</v>
      </c>
      <c r="T101" s="145">
        <v>294366.98267199995</v>
      </c>
      <c r="U101" s="23">
        <f t="shared" si="12"/>
        <v>3</v>
      </c>
      <c r="V101" s="1" t="s">
        <v>149</v>
      </c>
    </row>
    <row r="102" spans="1:22" x14ac:dyDescent="0.25">
      <c r="A102" s="102">
        <f t="shared" si="13"/>
        <v>85</v>
      </c>
      <c r="B102" s="101">
        <f t="shared" si="14"/>
        <v>85</v>
      </c>
      <c r="C102" s="73" t="s">
        <v>51</v>
      </c>
      <c r="D102" s="73" t="s">
        <v>424</v>
      </c>
      <c r="E102" s="100">
        <f t="shared" si="11"/>
        <v>11195845.836039999</v>
      </c>
      <c r="F102" s="107">
        <v>6230360.1900000004</v>
      </c>
      <c r="G102" s="107"/>
      <c r="H102" s="107">
        <v>1824432.9</v>
      </c>
      <c r="I102" s="107">
        <v>2756248.99</v>
      </c>
      <c r="J102" s="107"/>
      <c r="K102" s="107"/>
      <c r="L102" s="107"/>
      <c r="M102" s="107">
        <v>0</v>
      </c>
      <c r="N102" s="107">
        <v>0</v>
      </c>
      <c r="O102" s="107">
        <v>0</v>
      </c>
      <c r="P102" s="107">
        <v>0</v>
      </c>
      <c r="Q102" s="107">
        <v>0</v>
      </c>
      <c r="R102" s="107">
        <v>75653.789999999994</v>
      </c>
      <c r="S102" s="108">
        <v>18000</v>
      </c>
      <c r="T102" s="145">
        <v>291149.96604000009</v>
      </c>
      <c r="U102" s="23">
        <f t="shared" si="12"/>
        <v>3</v>
      </c>
      <c r="V102" s="1" t="s">
        <v>149</v>
      </c>
    </row>
    <row r="103" spans="1:22" x14ac:dyDescent="0.25">
      <c r="A103" s="102">
        <f t="shared" si="13"/>
        <v>86</v>
      </c>
      <c r="B103" s="101">
        <f t="shared" si="14"/>
        <v>86</v>
      </c>
      <c r="C103" s="73" t="s">
        <v>51</v>
      </c>
      <c r="D103" s="73" t="s">
        <v>425</v>
      </c>
      <c r="E103" s="100">
        <f t="shared" si="11"/>
        <v>9426184.9459980018</v>
      </c>
      <c r="F103" s="107">
        <v>6321167.0899999999</v>
      </c>
      <c r="G103" s="107"/>
      <c r="H103" s="107"/>
      <c r="I103" s="107">
        <v>2717347.73</v>
      </c>
      <c r="J103" s="107"/>
      <c r="K103" s="107"/>
      <c r="L103" s="107"/>
      <c r="M103" s="107">
        <v>0</v>
      </c>
      <c r="N103" s="107">
        <v>0</v>
      </c>
      <c r="O103" s="107">
        <v>0</v>
      </c>
      <c r="P103" s="107">
        <v>0</v>
      </c>
      <c r="Q103" s="107">
        <v>0</v>
      </c>
      <c r="R103" s="107">
        <v>75730.05</v>
      </c>
      <c r="S103" s="108">
        <v>18000</v>
      </c>
      <c r="T103" s="145">
        <v>293940.07599800004</v>
      </c>
      <c r="U103" s="23">
        <f t="shared" si="12"/>
        <v>2</v>
      </c>
      <c r="V103" s="1" t="s">
        <v>149</v>
      </c>
    </row>
    <row r="104" spans="1:22" x14ac:dyDescent="0.25">
      <c r="A104" s="102">
        <f t="shared" si="13"/>
        <v>87</v>
      </c>
      <c r="B104" s="101">
        <f t="shared" si="14"/>
        <v>87</v>
      </c>
      <c r="C104" s="73" t="s">
        <v>51</v>
      </c>
      <c r="D104" s="73" t="s">
        <v>426</v>
      </c>
      <c r="E104" s="100">
        <f t="shared" si="11"/>
        <v>1102560.24537608</v>
      </c>
      <c r="F104" s="107"/>
      <c r="G104" s="144"/>
      <c r="H104" s="107">
        <v>642270.27</v>
      </c>
      <c r="I104" s="107"/>
      <c r="J104" s="107"/>
      <c r="K104" s="107"/>
      <c r="L104" s="107"/>
      <c r="M104" s="107">
        <v>0</v>
      </c>
      <c r="N104" s="107">
        <v>0</v>
      </c>
      <c r="O104" s="107">
        <v>0</v>
      </c>
      <c r="P104" s="107">
        <v>0</v>
      </c>
      <c r="Q104" s="107">
        <v>0</v>
      </c>
      <c r="R104" s="107">
        <v>352588.91</v>
      </c>
      <c r="S104" s="108">
        <v>24000</v>
      </c>
      <c r="T104" s="145">
        <v>83701.06537608002</v>
      </c>
      <c r="U104" s="23">
        <f t="shared" si="12"/>
        <v>1</v>
      </c>
    </row>
    <row r="105" spans="1:22" x14ac:dyDescent="0.25">
      <c r="A105" s="102">
        <f t="shared" si="13"/>
        <v>88</v>
      </c>
      <c r="B105" s="101">
        <f t="shared" si="14"/>
        <v>88</v>
      </c>
      <c r="C105" s="73" t="s">
        <v>51</v>
      </c>
      <c r="D105" s="73" t="s">
        <v>173</v>
      </c>
      <c r="E105" s="100">
        <f t="shared" si="11"/>
        <v>2251928.7114039203</v>
      </c>
      <c r="F105" s="107"/>
      <c r="G105" s="107">
        <v>588065.09</v>
      </c>
      <c r="H105" s="107"/>
      <c r="I105" s="107">
        <v>500447.33</v>
      </c>
      <c r="J105" s="107">
        <v>469911.83</v>
      </c>
      <c r="K105" s="107"/>
      <c r="L105" s="107"/>
      <c r="M105" s="107">
        <v>0</v>
      </c>
      <c r="N105" s="107"/>
      <c r="O105" s="107">
        <v>0</v>
      </c>
      <c r="P105" s="107">
        <v>0</v>
      </c>
      <c r="Q105" s="107">
        <v>0</v>
      </c>
      <c r="R105" s="107">
        <v>513326.799</v>
      </c>
      <c r="S105" s="108">
        <v>73858.718200000003</v>
      </c>
      <c r="T105" s="145">
        <v>106318.94420392002</v>
      </c>
      <c r="U105" s="23">
        <f t="shared" si="12"/>
        <v>3</v>
      </c>
      <c r="V105" s="1" t="s">
        <v>146</v>
      </c>
    </row>
    <row r="106" spans="1:22" x14ac:dyDescent="0.25">
      <c r="A106" s="102">
        <f t="shared" si="13"/>
        <v>89</v>
      </c>
      <c r="B106" s="101">
        <f t="shared" si="14"/>
        <v>89</v>
      </c>
      <c r="C106" s="73" t="s">
        <v>51</v>
      </c>
      <c r="D106" s="73" t="s">
        <v>427</v>
      </c>
      <c r="E106" s="100">
        <f t="shared" si="11"/>
        <v>1618117.19564</v>
      </c>
      <c r="F106" s="107"/>
      <c r="G106" s="107"/>
      <c r="H106" s="107"/>
      <c r="I106" s="107"/>
      <c r="J106" s="107">
        <v>1092251.81</v>
      </c>
      <c r="K106" s="107"/>
      <c r="L106" s="107"/>
      <c r="M106" s="107"/>
      <c r="N106" s="107"/>
      <c r="O106" s="107">
        <v>0</v>
      </c>
      <c r="P106" s="107">
        <v>0</v>
      </c>
      <c r="Q106" s="107">
        <v>0</v>
      </c>
      <c r="R106" s="107">
        <v>501699.37999999995</v>
      </c>
      <c r="S106" s="108"/>
      <c r="T106" s="145">
        <v>24166.005639999999</v>
      </c>
      <c r="U106" s="23">
        <f t="shared" si="12"/>
        <v>1</v>
      </c>
      <c r="V106" s="1" t="s">
        <v>146</v>
      </c>
    </row>
    <row r="107" spans="1:22" x14ac:dyDescent="0.25">
      <c r="A107" s="102">
        <f t="shared" si="13"/>
        <v>90</v>
      </c>
      <c r="B107" s="101">
        <f t="shared" si="14"/>
        <v>90</v>
      </c>
      <c r="C107" s="73" t="s">
        <v>51</v>
      </c>
      <c r="D107" s="73" t="s">
        <v>236</v>
      </c>
      <c r="E107" s="100">
        <f t="shared" si="11"/>
        <v>20909986.949686639</v>
      </c>
      <c r="F107" s="107"/>
      <c r="G107" s="107"/>
      <c r="H107" s="107"/>
      <c r="I107" s="107"/>
      <c r="J107" s="107"/>
      <c r="K107" s="107"/>
      <c r="L107" s="107"/>
      <c r="M107" s="107"/>
      <c r="N107" s="107">
        <v>8833594.1600000001</v>
      </c>
      <c r="O107" s="107">
        <v>0</v>
      </c>
      <c r="P107" s="107">
        <v>11280169.18</v>
      </c>
      <c r="Q107" s="144"/>
      <c r="R107" s="107">
        <v>157634.31</v>
      </c>
      <c r="S107" s="108">
        <v>24000</v>
      </c>
      <c r="T107" s="145">
        <v>614589.29968664004</v>
      </c>
      <c r="U107" s="23">
        <f t="shared" si="12"/>
        <v>2</v>
      </c>
      <c r="V107" s="1" t="s">
        <v>149</v>
      </c>
    </row>
    <row r="108" spans="1:22" x14ac:dyDescent="0.25">
      <c r="A108" s="102">
        <f t="shared" si="13"/>
        <v>91</v>
      </c>
      <c r="B108" s="101">
        <f t="shared" si="14"/>
        <v>91</v>
      </c>
      <c r="C108" s="73" t="s">
        <v>51</v>
      </c>
      <c r="D108" s="73" t="s">
        <v>428</v>
      </c>
      <c r="E108" s="100">
        <f t="shared" si="11"/>
        <v>27716228.542847082</v>
      </c>
      <c r="F108" s="107"/>
      <c r="G108" s="144"/>
      <c r="H108" s="107">
        <v>3146864.52</v>
      </c>
      <c r="I108" s="107">
        <v>2898802.96</v>
      </c>
      <c r="J108" s="107">
        <v>0</v>
      </c>
      <c r="K108" s="107"/>
      <c r="L108" s="107"/>
      <c r="M108" s="107">
        <v>0</v>
      </c>
      <c r="N108" s="107">
        <v>9859124.0999999996</v>
      </c>
      <c r="O108" s="107">
        <v>0</v>
      </c>
      <c r="P108" s="107">
        <v>6508599.5899999999</v>
      </c>
      <c r="Q108" s="107">
        <v>3276300</v>
      </c>
      <c r="R108" s="107">
        <v>434057.50000000006</v>
      </c>
      <c r="S108" s="108">
        <v>24000</v>
      </c>
      <c r="T108" s="145">
        <v>1568479.8728470802</v>
      </c>
      <c r="U108" s="23">
        <f t="shared" si="12"/>
        <v>5</v>
      </c>
    </row>
    <row r="109" spans="1:22" x14ac:dyDescent="0.25">
      <c r="A109" s="102">
        <f t="shared" si="13"/>
        <v>92</v>
      </c>
      <c r="B109" s="101">
        <f t="shared" si="14"/>
        <v>92</v>
      </c>
      <c r="C109" s="73" t="s">
        <v>51</v>
      </c>
      <c r="D109" s="73" t="s">
        <v>429</v>
      </c>
      <c r="E109" s="100">
        <f t="shared" si="11"/>
        <v>14611197.90710892</v>
      </c>
      <c r="F109" s="107"/>
      <c r="G109" s="144"/>
      <c r="H109" s="107">
        <v>2731732.82</v>
      </c>
      <c r="I109" s="144"/>
      <c r="J109" s="107">
        <v>0</v>
      </c>
      <c r="K109" s="107"/>
      <c r="L109" s="107"/>
      <c r="M109" s="107">
        <v>0</v>
      </c>
      <c r="N109" s="107">
        <v>9356498.1500000004</v>
      </c>
      <c r="O109" s="107">
        <v>0</v>
      </c>
      <c r="P109" s="107"/>
      <c r="Q109" s="107">
        <v>1381241.93</v>
      </c>
      <c r="R109" s="107">
        <v>311041.28110000002</v>
      </c>
      <c r="S109" s="108">
        <v>45051.6011</v>
      </c>
      <c r="T109" s="145">
        <v>785632.12490892003</v>
      </c>
      <c r="U109" s="23">
        <f t="shared" si="12"/>
        <v>3</v>
      </c>
      <c r="V109" s="1" t="s">
        <v>149</v>
      </c>
    </row>
    <row r="110" spans="1:22" x14ac:dyDescent="0.25">
      <c r="A110" s="102">
        <f t="shared" si="13"/>
        <v>93</v>
      </c>
      <c r="B110" s="101">
        <f t="shared" si="14"/>
        <v>93</v>
      </c>
      <c r="C110" s="73" t="s">
        <v>51</v>
      </c>
      <c r="D110" s="73" t="s">
        <v>430</v>
      </c>
      <c r="E110" s="100">
        <f t="shared" si="11"/>
        <v>1092667.3</v>
      </c>
      <c r="F110" s="107">
        <v>0</v>
      </c>
      <c r="G110" s="107">
        <v>0</v>
      </c>
      <c r="H110" s="107">
        <v>0</v>
      </c>
      <c r="I110" s="107">
        <v>0</v>
      </c>
      <c r="J110" s="107">
        <v>1092667.3</v>
      </c>
      <c r="K110" s="107"/>
      <c r="L110" s="107"/>
      <c r="M110" s="107">
        <v>0</v>
      </c>
      <c r="N110" s="107">
        <v>0</v>
      </c>
      <c r="O110" s="107">
        <v>0</v>
      </c>
      <c r="P110" s="107"/>
      <c r="Q110" s="107">
        <v>0</v>
      </c>
      <c r="R110" s="107"/>
      <c r="S110" s="108"/>
      <c r="T110" s="145"/>
      <c r="U110" s="23">
        <f t="shared" si="12"/>
        <v>1</v>
      </c>
    </row>
    <row r="111" spans="1:22" x14ac:dyDescent="0.25">
      <c r="A111" s="102">
        <f t="shared" si="13"/>
        <v>94</v>
      </c>
      <c r="B111" s="101">
        <f t="shared" si="14"/>
        <v>94</v>
      </c>
      <c r="C111" s="73" t="s">
        <v>51</v>
      </c>
      <c r="D111" s="73" t="s">
        <v>431</v>
      </c>
      <c r="E111" s="100">
        <f t="shared" si="11"/>
        <v>1944736.54</v>
      </c>
      <c r="F111" s="107">
        <v>0</v>
      </c>
      <c r="G111" s="107">
        <v>0</v>
      </c>
      <c r="H111" s="107">
        <v>0</v>
      </c>
      <c r="I111" s="107">
        <v>0</v>
      </c>
      <c r="J111" s="107"/>
      <c r="K111" s="107"/>
      <c r="L111" s="107"/>
      <c r="M111" s="107">
        <v>0</v>
      </c>
      <c r="N111" s="107">
        <v>0</v>
      </c>
      <c r="O111" s="107">
        <v>0</v>
      </c>
      <c r="P111" s="107">
        <v>0</v>
      </c>
      <c r="Q111" s="107">
        <v>1937343.33</v>
      </c>
      <c r="R111" s="107"/>
      <c r="S111" s="108"/>
      <c r="T111" s="145">
        <v>7393.21</v>
      </c>
      <c r="U111" s="23">
        <f t="shared" si="12"/>
        <v>1</v>
      </c>
    </row>
    <row r="112" spans="1:22" x14ac:dyDescent="0.25">
      <c r="A112" s="102">
        <f t="shared" si="13"/>
        <v>95</v>
      </c>
      <c r="B112" s="101">
        <f t="shared" si="14"/>
        <v>95</v>
      </c>
      <c r="C112" s="73" t="s">
        <v>51</v>
      </c>
      <c r="D112" s="73" t="s">
        <v>432</v>
      </c>
      <c r="E112" s="100">
        <f t="shared" si="11"/>
        <v>3493023.9110059999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/>
      <c r="L112" s="107"/>
      <c r="M112" s="107">
        <v>0</v>
      </c>
      <c r="N112" s="107">
        <v>3264065.71</v>
      </c>
      <c r="O112" s="107">
        <v>0</v>
      </c>
      <c r="P112" s="107">
        <v>0</v>
      </c>
      <c r="Q112" s="107">
        <v>0</v>
      </c>
      <c r="R112" s="107">
        <v>122084.94</v>
      </c>
      <c r="S112" s="107">
        <v>24000</v>
      </c>
      <c r="T112" s="145">
        <v>82873.261006000001</v>
      </c>
      <c r="U112" s="23">
        <f t="shared" si="12"/>
        <v>1</v>
      </c>
    </row>
    <row r="113" spans="1:22" x14ac:dyDescent="0.25">
      <c r="A113" s="102">
        <f t="shared" si="13"/>
        <v>96</v>
      </c>
      <c r="B113" s="101">
        <f t="shared" si="14"/>
        <v>96</v>
      </c>
      <c r="C113" s="73" t="s">
        <v>51</v>
      </c>
      <c r="D113" s="73" t="s">
        <v>433</v>
      </c>
      <c r="E113" s="100">
        <f t="shared" si="11"/>
        <v>8609691.4240093995</v>
      </c>
      <c r="F113" s="107">
        <v>0</v>
      </c>
      <c r="G113" s="107">
        <v>0</v>
      </c>
      <c r="H113" s="107">
        <v>0</v>
      </c>
      <c r="I113" s="107">
        <v>0</v>
      </c>
      <c r="J113" s="107">
        <v>0</v>
      </c>
      <c r="K113" s="107"/>
      <c r="L113" s="107"/>
      <c r="M113" s="107">
        <v>0</v>
      </c>
      <c r="N113" s="107">
        <v>7551202.7000000002</v>
      </c>
      <c r="O113" s="107">
        <v>0</v>
      </c>
      <c r="P113" s="107">
        <v>0</v>
      </c>
      <c r="Q113" s="107">
        <v>0</v>
      </c>
      <c r="R113" s="107">
        <v>852132.39209999994</v>
      </c>
      <c r="S113" s="108">
        <v>24000</v>
      </c>
      <c r="T113" s="145">
        <v>182356.33190939997</v>
      </c>
      <c r="U113" s="23">
        <f t="shared" si="12"/>
        <v>1</v>
      </c>
    </row>
    <row r="114" spans="1:22" x14ac:dyDescent="0.25">
      <c r="A114" s="102">
        <f t="shared" si="13"/>
        <v>97</v>
      </c>
      <c r="B114" s="101">
        <f t="shared" si="14"/>
        <v>97</v>
      </c>
      <c r="C114" s="73" t="s">
        <v>51</v>
      </c>
      <c r="D114" s="73" t="s">
        <v>434</v>
      </c>
      <c r="E114" s="100">
        <f t="shared" ref="E114:E145" si="15">SUBTOTAL(9,F114:T114)</f>
        <v>18469307.326755162</v>
      </c>
      <c r="F114" s="144"/>
      <c r="G114" s="107"/>
      <c r="H114" s="144"/>
      <c r="I114" s="144"/>
      <c r="J114" s="107"/>
      <c r="K114" s="107"/>
      <c r="L114" s="107"/>
      <c r="M114" s="107">
        <v>0</v>
      </c>
      <c r="N114" s="107">
        <v>12780973.57</v>
      </c>
      <c r="O114" s="107">
        <v>0</v>
      </c>
      <c r="P114" s="107"/>
      <c r="Q114" s="107"/>
      <c r="R114" s="107">
        <v>4341944.4309</v>
      </c>
      <c r="S114" s="108">
        <v>461523.41969999997</v>
      </c>
      <c r="T114" s="145">
        <v>884865.90615516005</v>
      </c>
      <c r="U114" s="23">
        <f t="shared" ref="U114:U145" si="16">COUNTIF(F114:Q114,"&gt;0")</f>
        <v>1</v>
      </c>
      <c r="V114" s="1" t="s">
        <v>149</v>
      </c>
    </row>
    <row r="115" spans="1:22" x14ac:dyDescent="0.25">
      <c r="A115" s="102">
        <f t="shared" ref="A115:A146" si="17">+A114+1</f>
        <v>98</v>
      </c>
      <c r="B115" s="101">
        <f t="shared" ref="B115:B146" si="18">+B114+1</f>
        <v>98</v>
      </c>
      <c r="C115" s="73" t="s">
        <v>51</v>
      </c>
      <c r="D115" s="73" t="s">
        <v>435</v>
      </c>
      <c r="E115" s="100">
        <f t="shared" si="15"/>
        <v>24274955.771498859</v>
      </c>
      <c r="F115" s="107"/>
      <c r="G115" s="107"/>
      <c r="H115" s="107"/>
      <c r="I115" s="107"/>
      <c r="J115" s="107"/>
      <c r="K115" s="107"/>
      <c r="L115" s="107"/>
      <c r="M115" s="107"/>
      <c r="N115" s="107"/>
      <c r="O115" s="107">
        <v>0</v>
      </c>
      <c r="P115" s="107">
        <v>22920438.079999998</v>
      </c>
      <c r="Q115" s="107"/>
      <c r="R115" s="107">
        <v>237586.77</v>
      </c>
      <c r="S115" s="108"/>
      <c r="T115" s="145">
        <v>1116930.9214988602</v>
      </c>
      <c r="U115" s="23">
        <f t="shared" si="16"/>
        <v>1</v>
      </c>
      <c r="V115" s="1" t="s">
        <v>149</v>
      </c>
    </row>
    <row r="116" spans="1:22" x14ac:dyDescent="0.25">
      <c r="A116" s="102">
        <f t="shared" si="17"/>
        <v>99</v>
      </c>
      <c r="B116" s="101">
        <f t="shared" si="18"/>
        <v>99</v>
      </c>
      <c r="C116" s="73" t="s">
        <v>51</v>
      </c>
      <c r="D116" s="73" t="s">
        <v>436</v>
      </c>
      <c r="E116" s="100">
        <f t="shared" si="15"/>
        <v>24384542.330598522</v>
      </c>
      <c r="F116" s="107"/>
      <c r="G116" s="107"/>
      <c r="H116" s="107"/>
      <c r="I116" s="107"/>
      <c r="J116" s="107"/>
      <c r="K116" s="107"/>
      <c r="L116" s="107"/>
      <c r="M116" s="107"/>
      <c r="N116" s="107"/>
      <c r="O116" s="107">
        <v>0</v>
      </c>
      <c r="P116" s="107">
        <v>23040371.91</v>
      </c>
      <c r="Q116" s="107"/>
      <c r="R116" s="107">
        <v>237124.23</v>
      </c>
      <c r="S116" s="108"/>
      <c r="T116" s="145">
        <v>1107046.1905985202</v>
      </c>
      <c r="U116" s="23">
        <f t="shared" si="16"/>
        <v>1</v>
      </c>
      <c r="V116" s="1" t="s">
        <v>149</v>
      </c>
    </row>
    <row r="117" spans="1:22" x14ac:dyDescent="0.25">
      <c r="A117" s="102">
        <f t="shared" si="17"/>
        <v>100</v>
      </c>
      <c r="B117" s="101">
        <f t="shared" si="18"/>
        <v>100</v>
      </c>
      <c r="C117" s="73" t="s">
        <v>51</v>
      </c>
      <c r="D117" s="73" t="s">
        <v>437</v>
      </c>
      <c r="E117" s="100">
        <f t="shared" si="15"/>
        <v>1151789.168633756</v>
      </c>
      <c r="F117" s="107"/>
      <c r="G117" s="107"/>
      <c r="H117" s="107">
        <v>655531.02</v>
      </c>
      <c r="I117" s="107"/>
      <c r="J117" s="107"/>
      <c r="K117" s="107"/>
      <c r="L117" s="107"/>
      <c r="M117" s="107"/>
      <c r="N117" s="107"/>
      <c r="O117" s="107"/>
      <c r="P117" s="107"/>
      <c r="Q117" s="144"/>
      <c r="R117" s="107"/>
      <c r="S117" s="108"/>
      <c r="T117" s="145">
        <v>496258.14863375603</v>
      </c>
      <c r="U117" s="23">
        <f t="shared" si="16"/>
        <v>1</v>
      </c>
    </row>
    <row r="118" spans="1:22" x14ac:dyDescent="0.25">
      <c r="A118" s="102">
        <f t="shared" si="17"/>
        <v>101</v>
      </c>
      <c r="B118" s="101">
        <f t="shared" si="18"/>
        <v>101</v>
      </c>
      <c r="C118" s="73" t="s">
        <v>51</v>
      </c>
      <c r="D118" s="73" t="s">
        <v>438</v>
      </c>
      <c r="E118" s="100">
        <f t="shared" si="15"/>
        <v>8825748.4216627013</v>
      </c>
      <c r="F118" s="107"/>
      <c r="G118" s="107">
        <v>1337737.05</v>
      </c>
      <c r="H118" s="107">
        <v>613148.77</v>
      </c>
      <c r="I118" s="107">
        <v>943239.55</v>
      </c>
      <c r="J118" s="107"/>
      <c r="K118" s="107"/>
      <c r="L118" s="107"/>
      <c r="M118" s="107">
        <v>0</v>
      </c>
      <c r="N118" s="107">
        <v>3170792.72</v>
      </c>
      <c r="O118" s="107">
        <v>0</v>
      </c>
      <c r="P118" s="107">
        <v>0</v>
      </c>
      <c r="Q118" s="107">
        <v>0</v>
      </c>
      <c r="R118" s="107">
        <v>2090379.2508999999</v>
      </c>
      <c r="S118" s="108">
        <v>229328.92859999998</v>
      </c>
      <c r="T118" s="145">
        <v>441122.15216270008</v>
      </c>
      <c r="U118" s="23">
        <f t="shared" si="16"/>
        <v>4</v>
      </c>
      <c r="V118" s="1" t="s">
        <v>146</v>
      </c>
    </row>
    <row r="119" spans="1:22" x14ac:dyDescent="0.25">
      <c r="A119" s="102">
        <f t="shared" si="17"/>
        <v>102</v>
      </c>
      <c r="B119" s="101">
        <f t="shared" si="18"/>
        <v>102</v>
      </c>
      <c r="C119" s="73" t="s">
        <v>51</v>
      </c>
      <c r="D119" s="73" t="s">
        <v>439</v>
      </c>
      <c r="E119" s="100">
        <f t="shared" si="15"/>
        <v>4462811.3410231601</v>
      </c>
      <c r="F119" s="107">
        <v>3489079.68</v>
      </c>
      <c r="G119" s="107"/>
      <c r="H119" s="107"/>
      <c r="I119" s="107"/>
      <c r="J119" s="107"/>
      <c r="K119" s="107">
        <v>0</v>
      </c>
      <c r="L119" s="107"/>
      <c r="M119" s="107">
        <v>0</v>
      </c>
      <c r="N119" s="107">
        <v>0</v>
      </c>
      <c r="O119" s="107">
        <v>0</v>
      </c>
      <c r="P119" s="107">
        <v>0</v>
      </c>
      <c r="Q119" s="107">
        <v>0</v>
      </c>
      <c r="R119" s="107">
        <v>788750.73</v>
      </c>
      <c r="S119" s="108"/>
      <c r="T119" s="145">
        <v>184980.93102316</v>
      </c>
      <c r="U119" s="23">
        <f t="shared" si="16"/>
        <v>1</v>
      </c>
      <c r="V119" s="1" t="s">
        <v>149</v>
      </c>
    </row>
    <row r="120" spans="1:22" x14ac:dyDescent="0.25">
      <c r="A120" s="102">
        <f t="shared" si="17"/>
        <v>103</v>
      </c>
      <c r="B120" s="101">
        <f t="shared" si="18"/>
        <v>103</v>
      </c>
      <c r="C120" s="73" t="s">
        <v>51</v>
      </c>
      <c r="D120" s="73" t="s">
        <v>440</v>
      </c>
      <c r="E120" s="100">
        <f t="shared" si="15"/>
        <v>1013056.9700000001</v>
      </c>
      <c r="F120" s="107">
        <v>0</v>
      </c>
      <c r="G120" s="107">
        <v>0</v>
      </c>
      <c r="H120" s="107">
        <v>0</v>
      </c>
      <c r="I120" s="107">
        <v>0</v>
      </c>
      <c r="J120" s="107">
        <v>1007223.29</v>
      </c>
      <c r="K120" s="107"/>
      <c r="L120" s="107"/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/>
      <c r="S120" s="108"/>
      <c r="T120" s="145">
        <v>5833.68</v>
      </c>
      <c r="U120" s="23">
        <f t="shared" si="16"/>
        <v>1</v>
      </c>
    </row>
    <row r="121" spans="1:22" x14ac:dyDescent="0.25">
      <c r="A121" s="102">
        <f t="shared" si="17"/>
        <v>104</v>
      </c>
      <c r="B121" s="101">
        <f t="shared" si="18"/>
        <v>104</v>
      </c>
      <c r="C121" s="73" t="s">
        <v>51</v>
      </c>
      <c r="D121" s="73" t="s">
        <v>441</v>
      </c>
      <c r="E121" s="100">
        <f t="shared" si="15"/>
        <v>12649312.870907839</v>
      </c>
      <c r="F121" s="107">
        <v>3644506.14</v>
      </c>
      <c r="G121" s="107"/>
      <c r="H121" s="107">
        <v>914465.47</v>
      </c>
      <c r="I121" s="107"/>
      <c r="J121" s="107">
        <v>0</v>
      </c>
      <c r="K121" s="107"/>
      <c r="L121" s="107"/>
      <c r="M121" s="107">
        <v>0</v>
      </c>
      <c r="N121" s="107">
        <v>3794408.23</v>
      </c>
      <c r="O121" s="107">
        <v>0</v>
      </c>
      <c r="P121" s="107">
        <v>0</v>
      </c>
      <c r="Q121" s="107">
        <v>3615223.51</v>
      </c>
      <c r="R121" s="107">
        <v>160007.0122</v>
      </c>
      <c r="S121" s="108">
        <v>37048.782200000001</v>
      </c>
      <c r="T121" s="145">
        <v>483653.72650783998</v>
      </c>
      <c r="U121" s="23">
        <f t="shared" si="16"/>
        <v>4</v>
      </c>
      <c r="V121" s="1" t="s">
        <v>146</v>
      </c>
    </row>
    <row r="122" spans="1:22" x14ac:dyDescent="0.25">
      <c r="A122" s="102">
        <f t="shared" si="17"/>
        <v>105</v>
      </c>
      <c r="B122" s="101">
        <f t="shared" si="18"/>
        <v>105</v>
      </c>
      <c r="C122" s="73" t="s">
        <v>51</v>
      </c>
      <c r="D122" s="73" t="s">
        <v>442</v>
      </c>
      <c r="E122" s="100">
        <f t="shared" si="15"/>
        <v>56109594.188878097</v>
      </c>
      <c r="F122" s="107"/>
      <c r="G122" s="107"/>
      <c r="H122" s="144"/>
      <c r="I122" s="107"/>
      <c r="J122" s="107"/>
      <c r="K122" s="107"/>
      <c r="L122" s="107"/>
      <c r="M122" s="107"/>
      <c r="N122" s="107">
        <v>14003938.84</v>
      </c>
      <c r="O122" s="107"/>
      <c r="P122" s="107">
        <v>32173395.460000001</v>
      </c>
      <c r="Q122" s="107">
        <v>8022917.0300000003</v>
      </c>
      <c r="R122" s="107">
        <v>228290.3</v>
      </c>
      <c r="S122" s="108"/>
      <c r="T122" s="145">
        <v>1681052.5588781</v>
      </c>
      <c r="U122" s="23">
        <f t="shared" si="16"/>
        <v>3</v>
      </c>
      <c r="V122" s="1" t="s">
        <v>150</v>
      </c>
    </row>
    <row r="123" spans="1:22" x14ac:dyDescent="0.25">
      <c r="A123" s="102">
        <f t="shared" si="17"/>
        <v>106</v>
      </c>
      <c r="B123" s="101">
        <f t="shared" si="18"/>
        <v>106</v>
      </c>
      <c r="C123" s="73" t="s">
        <v>51</v>
      </c>
      <c r="D123" s="73" t="s">
        <v>443</v>
      </c>
      <c r="E123" s="100">
        <f t="shared" si="15"/>
        <v>28210776.703030359</v>
      </c>
      <c r="F123" s="107">
        <v>6509238.7699999996</v>
      </c>
      <c r="G123" s="107">
        <v>2319400.21</v>
      </c>
      <c r="H123" s="107">
        <v>3775889.5</v>
      </c>
      <c r="I123" s="107">
        <v>1790627.54</v>
      </c>
      <c r="J123" s="107"/>
      <c r="K123" s="107"/>
      <c r="L123" s="107"/>
      <c r="M123" s="107">
        <v>0</v>
      </c>
      <c r="N123" s="107">
        <v>4646956.9000000004</v>
      </c>
      <c r="O123" s="107">
        <v>0</v>
      </c>
      <c r="P123" s="107">
        <v>5003516.4000000004</v>
      </c>
      <c r="Q123" s="107">
        <v>2513954.87</v>
      </c>
      <c r="R123" s="107"/>
      <c r="S123" s="108"/>
      <c r="T123" s="145">
        <v>1651192.5130303577</v>
      </c>
      <c r="U123" s="23">
        <f t="shared" si="16"/>
        <v>7</v>
      </c>
      <c r="V123" s="41" t="s">
        <v>251</v>
      </c>
    </row>
    <row r="124" spans="1:22" x14ac:dyDescent="0.25">
      <c r="A124" s="102">
        <f t="shared" si="17"/>
        <v>107</v>
      </c>
      <c r="B124" s="101">
        <f t="shared" si="18"/>
        <v>107</v>
      </c>
      <c r="C124" s="73" t="s">
        <v>51</v>
      </c>
      <c r="D124" s="73" t="s">
        <v>119</v>
      </c>
      <c r="E124" s="100">
        <f t="shared" si="15"/>
        <v>8373368.8852534005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/>
      <c r="L124" s="107"/>
      <c r="M124" s="107">
        <v>0</v>
      </c>
      <c r="N124" s="107">
        <v>6528558.9900000002</v>
      </c>
      <c r="O124" s="107">
        <v>0</v>
      </c>
      <c r="P124" s="107">
        <v>0</v>
      </c>
      <c r="Q124" s="107">
        <v>0</v>
      </c>
      <c r="R124" s="107">
        <v>1523817.8800000001</v>
      </c>
      <c r="S124" s="108"/>
      <c r="T124" s="145">
        <v>320992.01525340008</v>
      </c>
      <c r="U124" s="23">
        <f t="shared" si="16"/>
        <v>1</v>
      </c>
    </row>
    <row r="125" spans="1:22" x14ac:dyDescent="0.25">
      <c r="A125" s="102">
        <f t="shared" si="17"/>
        <v>108</v>
      </c>
      <c r="B125" s="101">
        <f t="shared" si="18"/>
        <v>108</v>
      </c>
      <c r="C125" s="73" t="s">
        <v>51</v>
      </c>
      <c r="D125" s="73" t="s">
        <v>444</v>
      </c>
      <c r="E125" s="100">
        <f t="shared" si="15"/>
        <v>8125441.1614079997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/>
      <c r="L125" s="107"/>
      <c r="M125" s="107">
        <v>0</v>
      </c>
      <c r="N125" s="107">
        <v>6264359.7599999998</v>
      </c>
      <c r="O125" s="107">
        <v>0</v>
      </c>
      <c r="P125" s="107">
        <v>0</v>
      </c>
      <c r="Q125" s="107">
        <v>0</v>
      </c>
      <c r="R125" s="107">
        <v>1547459.25</v>
      </c>
      <c r="S125" s="108"/>
      <c r="T125" s="145">
        <v>313622.15140800003</v>
      </c>
      <c r="U125" s="23">
        <f t="shared" si="16"/>
        <v>1</v>
      </c>
    </row>
    <row r="126" spans="1:22" x14ac:dyDescent="0.25">
      <c r="A126" s="102">
        <f t="shared" si="17"/>
        <v>109</v>
      </c>
      <c r="B126" s="101">
        <f t="shared" si="18"/>
        <v>109</v>
      </c>
      <c r="C126" s="73" t="s">
        <v>51</v>
      </c>
      <c r="D126" s="73" t="s">
        <v>445</v>
      </c>
      <c r="E126" s="100">
        <f t="shared" si="15"/>
        <v>435458</v>
      </c>
      <c r="F126" s="107">
        <v>0</v>
      </c>
      <c r="G126" s="107">
        <v>0</v>
      </c>
      <c r="H126" s="107">
        <v>0</v>
      </c>
      <c r="I126" s="107">
        <v>0</v>
      </c>
      <c r="J126" s="107">
        <v>435458</v>
      </c>
      <c r="K126" s="107"/>
      <c r="L126" s="107"/>
      <c r="M126" s="107">
        <v>0</v>
      </c>
      <c r="N126" s="107">
        <v>0</v>
      </c>
      <c r="O126" s="107">
        <v>0</v>
      </c>
      <c r="P126" s="107">
        <v>0</v>
      </c>
      <c r="Q126" s="107">
        <v>0</v>
      </c>
      <c r="R126" s="107"/>
      <c r="S126" s="108"/>
      <c r="T126" s="145"/>
      <c r="U126" s="23">
        <f t="shared" si="16"/>
        <v>1</v>
      </c>
    </row>
    <row r="127" spans="1:22" x14ac:dyDescent="0.25">
      <c r="A127" s="102">
        <f t="shared" si="17"/>
        <v>110</v>
      </c>
      <c r="B127" s="101">
        <f t="shared" si="18"/>
        <v>110</v>
      </c>
      <c r="C127" s="73" t="s">
        <v>51</v>
      </c>
      <c r="D127" s="73" t="s">
        <v>446</v>
      </c>
      <c r="E127" s="100">
        <f t="shared" si="15"/>
        <v>1097504.5</v>
      </c>
      <c r="F127" s="107">
        <v>0</v>
      </c>
      <c r="G127" s="107"/>
      <c r="H127" s="107">
        <v>0</v>
      </c>
      <c r="I127" s="144"/>
      <c r="J127" s="107">
        <v>1097504.5</v>
      </c>
      <c r="K127" s="107"/>
      <c r="L127" s="107"/>
      <c r="M127" s="107">
        <v>0</v>
      </c>
      <c r="N127" s="107">
        <v>0</v>
      </c>
      <c r="O127" s="107">
        <v>0</v>
      </c>
      <c r="P127" s="107">
        <v>0</v>
      </c>
      <c r="Q127" s="107">
        <v>0</v>
      </c>
      <c r="R127" s="107"/>
      <c r="S127" s="107"/>
      <c r="T127" s="145"/>
      <c r="U127" s="23">
        <f t="shared" si="16"/>
        <v>1</v>
      </c>
      <c r="V127" s="1" t="s">
        <v>159</v>
      </c>
    </row>
    <row r="128" spans="1:22" x14ac:dyDescent="0.25">
      <c r="A128" s="102">
        <f t="shared" si="17"/>
        <v>111</v>
      </c>
      <c r="B128" s="101">
        <f t="shared" si="18"/>
        <v>111</v>
      </c>
      <c r="C128" s="73" t="s">
        <v>51</v>
      </c>
      <c r="D128" s="73" t="s">
        <v>447</v>
      </c>
      <c r="E128" s="100">
        <f t="shared" si="15"/>
        <v>678959.93939557998</v>
      </c>
      <c r="F128" s="107"/>
      <c r="G128" s="107"/>
      <c r="H128" s="107"/>
      <c r="I128" s="107"/>
      <c r="J128" s="107">
        <v>500183.41</v>
      </c>
      <c r="K128" s="107"/>
      <c r="L128" s="107"/>
      <c r="M128" s="107">
        <v>0</v>
      </c>
      <c r="N128" s="107">
        <v>0</v>
      </c>
      <c r="O128" s="107">
        <v>0</v>
      </c>
      <c r="P128" s="107"/>
      <c r="Q128" s="107">
        <v>0</v>
      </c>
      <c r="R128" s="107"/>
      <c r="S128" s="108"/>
      <c r="T128" s="145">
        <v>178776.52939558003</v>
      </c>
      <c r="U128" s="23">
        <f t="shared" si="16"/>
        <v>1</v>
      </c>
    </row>
    <row r="129" spans="1:22" x14ac:dyDescent="0.25">
      <c r="A129" s="102">
        <f t="shared" si="17"/>
        <v>112</v>
      </c>
      <c r="B129" s="101">
        <f t="shared" si="18"/>
        <v>112</v>
      </c>
      <c r="C129" s="73" t="s">
        <v>51</v>
      </c>
      <c r="D129" s="73" t="s">
        <v>448</v>
      </c>
      <c r="E129" s="100">
        <f t="shared" si="15"/>
        <v>994811.65</v>
      </c>
      <c r="F129" s="107">
        <v>0</v>
      </c>
      <c r="G129" s="107">
        <v>0</v>
      </c>
      <c r="H129" s="107">
        <v>0</v>
      </c>
      <c r="I129" s="107">
        <v>0</v>
      </c>
      <c r="J129" s="107">
        <v>994811.65</v>
      </c>
      <c r="K129" s="107"/>
      <c r="L129" s="107"/>
      <c r="M129" s="107">
        <v>0</v>
      </c>
      <c r="N129" s="107">
        <v>0</v>
      </c>
      <c r="O129" s="107">
        <v>0</v>
      </c>
      <c r="P129" s="107">
        <v>0</v>
      </c>
      <c r="Q129" s="107">
        <v>0</v>
      </c>
      <c r="R129" s="107"/>
      <c r="S129" s="108"/>
      <c r="T129" s="145"/>
      <c r="U129" s="23">
        <f t="shared" si="16"/>
        <v>1</v>
      </c>
    </row>
    <row r="130" spans="1:22" x14ac:dyDescent="0.25">
      <c r="A130" s="102">
        <f t="shared" si="17"/>
        <v>113</v>
      </c>
      <c r="B130" s="101">
        <f t="shared" si="18"/>
        <v>113</v>
      </c>
      <c r="C130" s="73" t="s">
        <v>51</v>
      </c>
      <c r="D130" s="73" t="s">
        <v>449</v>
      </c>
      <c r="E130" s="100">
        <f t="shared" si="15"/>
        <v>2196546.3422400001</v>
      </c>
      <c r="F130" s="107"/>
      <c r="G130" s="107"/>
      <c r="H130" s="107"/>
      <c r="I130" s="107"/>
      <c r="J130" s="107">
        <v>2104784.6800000002</v>
      </c>
      <c r="K130" s="107"/>
      <c r="L130" s="107"/>
      <c r="M130" s="107">
        <v>0</v>
      </c>
      <c r="N130" s="107">
        <v>0</v>
      </c>
      <c r="O130" s="107"/>
      <c r="P130" s="107"/>
      <c r="Q130" s="107"/>
      <c r="R130" s="107">
        <v>2857.14</v>
      </c>
      <c r="S130" s="108">
        <v>24000</v>
      </c>
      <c r="T130" s="145">
        <v>64904.522240000006</v>
      </c>
      <c r="U130" s="23">
        <f t="shared" si="16"/>
        <v>1</v>
      </c>
      <c r="V130" s="1" t="s">
        <v>149</v>
      </c>
    </row>
    <row r="131" spans="1:22" x14ac:dyDescent="0.25">
      <c r="A131" s="102">
        <f t="shared" si="17"/>
        <v>114</v>
      </c>
      <c r="B131" s="101">
        <f t="shared" si="18"/>
        <v>114</v>
      </c>
      <c r="C131" s="73" t="s">
        <v>51</v>
      </c>
      <c r="D131" s="73" t="s">
        <v>450</v>
      </c>
      <c r="E131" s="100">
        <f t="shared" si="15"/>
        <v>22252018.226827998</v>
      </c>
      <c r="F131" s="107"/>
      <c r="G131" s="107"/>
      <c r="H131" s="107"/>
      <c r="I131" s="107"/>
      <c r="J131" s="107"/>
      <c r="K131" s="107"/>
      <c r="L131" s="107"/>
      <c r="M131" s="107">
        <v>0</v>
      </c>
      <c r="N131" s="107"/>
      <c r="O131" s="107">
        <v>0</v>
      </c>
      <c r="P131" s="107">
        <v>21575728.449999999</v>
      </c>
      <c r="Q131" s="107"/>
      <c r="R131" s="107"/>
      <c r="S131" s="108"/>
      <c r="T131" s="145">
        <v>676289.77682800009</v>
      </c>
      <c r="U131" s="23">
        <f t="shared" si="16"/>
        <v>1</v>
      </c>
    </row>
    <row r="132" spans="1:22" x14ac:dyDescent="0.25">
      <c r="A132" s="102">
        <f t="shared" si="17"/>
        <v>115</v>
      </c>
      <c r="B132" s="101">
        <f t="shared" si="18"/>
        <v>115</v>
      </c>
      <c r="C132" s="73" t="s">
        <v>51</v>
      </c>
      <c r="D132" s="73" t="s">
        <v>451</v>
      </c>
      <c r="E132" s="100">
        <f t="shared" si="15"/>
        <v>24178412.226240739</v>
      </c>
      <c r="F132" s="107">
        <v>5305996.59</v>
      </c>
      <c r="G132" s="144"/>
      <c r="H132" s="144"/>
      <c r="I132" s="144"/>
      <c r="J132" s="107"/>
      <c r="K132" s="107"/>
      <c r="L132" s="107"/>
      <c r="M132" s="107">
        <v>0</v>
      </c>
      <c r="N132" s="107">
        <v>4125438.85</v>
      </c>
      <c r="O132" s="107">
        <v>0</v>
      </c>
      <c r="P132" s="107">
        <v>13688562.5</v>
      </c>
      <c r="Q132" s="107"/>
      <c r="R132" s="107"/>
      <c r="S132" s="108"/>
      <c r="T132" s="145">
        <v>1058414.2862407397</v>
      </c>
      <c r="U132" s="23">
        <f t="shared" si="16"/>
        <v>3</v>
      </c>
      <c r="V132" s="1" t="s">
        <v>146</v>
      </c>
    </row>
    <row r="133" spans="1:22" x14ac:dyDescent="0.25">
      <c r="A133" s="102">
        <f t="shared" si="17"/>
        <v>116</v>
      </c>
      <c r="B133" s="101">
        <f t="shared" si="18"/>
        <v>116</v>
      </c>
      <c r="C133" s="73" t="s">
        <v>51</v>
      </c>
      <c r="D133" s="73" t="s">
        <v>452</v>
      </c>
      <c r="E133" s="100">
        <f t="shared" si="15"/>
        <v>1817380.4565099401</v>
      </c>
      <c r="F133" s="107"/>
      <c r="G133" s="107"/>
      <c r="H133" s="107">
        <v>707768.48</v>
      </c>
      <c r="I133" s="107">
        <v>953897.51</v>
      </c>
      <c r="J133" s="107"/>
      <c r="K133" s="107"/>
      <c r="L133" s="107"/>
      <c r="M133" s="107">
        <v>0</v>
      </c>
      <c r="N133" s="107">
        <v>0</v>
      </c>
      <c r="O133" s="107">
        <v>0</v>
      </c>
      <c r="P133" s="107"/>
      <c r="Q133" s="107">
        <v>0</v>
      </c>
      <c r="R133" s="107"/>
      <c r="S133" s="108"/>
      <c r="T133" s="145">
        <v>155714.46650994002</v>
      </c>
      <c r="U133" s="23">
        <f t="shared" si="16"/>
        <v>2</v>
      </c>
    </row>
    <row r="134" spans="1:22" x14ac:dyDescent="0.25">
      <c r="A134" s="102">
        <f t="shared" si="17"/>
        <v>117</v>
      </c>
      <c r="B134" s="101">
        <f t="shared" si="18"/>
        <v>117</v>
      </c>
      <c r="C134" s="73" t="s">
        <v>44</v>
      </c>
      <c r="D134" s="73" t="s">
        <v>561</v>
      </c>
      <c r="E134" s="100">
        <f t="shared" si="15"/>
        <v>9785218.7020976003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/>
      <c r="L134" s="107"/>
      <c r="M134" s="107">
        <v>0</v>
      </c>
      <c r="N134" s="107">
        <v>9447493.2200000007</v>
      </c>
      <c r="O134" s="107">
        <v>0</v>
      </c>
      <c r="P134" s="107"/>
      <c r="Q134" s="107"/>
      <c r="R134" s="107"/>
      <c r="S134" s="108"/>
      <c r="T134" s="145">
        <v>337725.48209760012</v>
      </c>
      <c r="U134" s="23">
        <f t="shared" si="16"/>
        <v>1</v>
      </c>
    </row>
    <row r="135" spans="1:22" x14ac:dyDescent="0.25">
      <c r="A135" s="102">
        <f t="shared" si="17"/>
        <v>118</v>
      </c>
      <c r="B135" s="101">
        <f t="shared" si="18"/>
        <v>118</v>
      </c>
      <c r="C135" s="73" t="s">
        <v>44</v>
      </c>
      <c r="D135" s="73" t="s">
        <v>562</v>
      </c>
      <c r="E135" s="100">
        <f t="shared" si="15"/>
        <v>459932.97</v>
      </c>
      <c r="F135" s="107">
        <v>0</v>
      </c>
      <c r="G135" s="107">
        <v>0</v>
      </c>
      <c r="H135" s="107">
        <v>0</v>
      </c>
      <c r="I135" s="107">
        <v>0</v>
      </c>
      <c r="J135" s="107">
        <v>459932.97</v>
      </c>
      <c r="K135" s="107"/>
      <c r="L135" s="107"/>
      <c r="M135" s="107">
        <v>0</v>
      </c>
      <c r="N135" s="107">
        <v>0</v>
      </c>
      <c r="O135" s="107">
        <v>0</v>
      </c>
      <c r="P135" s="107">
        <v>0</v>
      </c>
      <c r="Q135" s="107">
        <v>0</v>
      </c>
      <c r="R135" s="107"/>
      <c r="S135" s="108"/>
      <c r="T135" s="145"/>
      <c r="U135" s="23">
        <f t="shared" si="16"/>
        <v>1</v>
      </c>
    </row>
    <row r="136" spans="1:22" x14ac:dyDescent="0.25">
      <c r="A136" s="102">
        <f t="shared" si="17"/>
        <v>119</v>
      </c>
      <c r="B136" s="101">
        <f t="shared" si="18"/>
        <v>119</v>
      </c>
      <c r="C136" s="73" t="s">
        <v>44</v>
      </c>
      <c r="D136" s="73" t="s">
        <v>563</v>
      </c>
      <c r="E136" s="100">
        <f t="shared" si="15"/>
        <v>7411233.7756144591</v>
      </c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>
        <v>6404791.8899999997</v>
      </c>
      <c r="R136" s="107">
        <v>779909.40100000007</v>
      </c>
      <c r="S136" s="108">
        <v>77990.940099999993</v>
      </c>
      <c r="T136" s="145">
        <v>148541.54451445999</v>
      </c>
      <c r="U136" s="23">
        <f t="shared" si="16"/>
        <v>1</v>
      </c>
      <c r="V136" s="1" t="s">
        <v>146</v>
      </c>
    </row>
    <row r="137" spans="1:22" x14ac:dyDescent="0.25">
      <c r="A137" s="102">
        <f t="shared" si="17"/>
        <v>120</v>
      </c>
      <c r="B137" s="101">
        <f t="shared" si="18"/>
        <v>120</v>
      </c>
      <c r="C137" s="73" t="s">
        <v>44</v>
      </c>
      <c r="D137" s="73" t="s">
        <v>564</v>
      </c>
      <c r="E137" s="100">
        <f t="shared" si="15"/>
        <v>1318598.3729000001</v>
      </c>
      <c r="F137" s="107">
        <v>0</v>
      </c>
      <c r="G137" s="107"/>
      <c r="H137" s="107">
        <v>1005861.31</v>
      </c>
      <c r="I137" s="107">
        <v>0</v>
      </c>
      <c r="J137" s="107"/>
      <c r="K137" s="107"/>
      <c r="L137" s="107"/>
      <c r="M137" s="107">
        <v>0</v>
      </c>
      <c r="N137" s="107">
        <v>0</v>
      </c>
      <c r="O137" s="107">
        <v>0</v>
      </c>
      <c r="P137" s="107">
        <v>0</v>
      </c>
      <c r="Q137" s="107">
        <v>0</v>
      </c>
      <c r="R137" s="107">
        <v>268460.93900000001</v>
      </c>
      <c r="S137" s="108">
        <v>26846.093900000003</v>
      </c>
      <c r="T137" s="145">
        <v>17430.03</v>
      </c>
      <c r="U137" s="23">
        <f t="shared" si="16"/>
        <v>1</v>
      </c>
    </row>
    <row r="138" spans="1:22" x14ac:dyDescent="0.25">
      <c r="A138" s="102">
        <f t="shared" si="17"/>
        <v>121</v>
      </c>
      <c r="B138" s="101">
        <f t="shared" si="18"/>
        <v>121</v>
      </c>
      <c r="C138" s="73" t="s">
        <v>44</v>
      </c>
      <c r="D138" s="73" t="s">
        <v>565</v>
      </c>
      <c r="E138" s="100">
        <f t="shared" si="15"/>
        <v>2497571.4777621999</v>
      </c>
      <c r="F138" s="107">
        <v>0</v>
      </c>
      <c r="G138" s="107"/>
      <c r="H138" s="107"/>
      <c r="I138" s="107"/>
      <c r="J138" s="107">
        <v>0</v>
      </c>
      <c r="K138" s="107"/>
      <c r="L138" s="107"/>
      <c r="M138" s="107">
        <v>0</v>
      </c>
      <c r="N138" s="107">
        <v>2408460.1</v>
      </c>
      <c r="O138" s="107">
        <v>0</v>
      </c>
      <c r="P138" s="107">
        <v>0</v>
      </c>
      <c r="Q138" s="107">
        <v>0</v>
      </c>
      <c r="R138" s="107"/>
      <c r="S138" s="108"/>
      <c r="T138" s="145">
        <v>89111.377762199991</v>
      </c>
      <c r="U138" s="23">
        <f t="shared" si="16"/>
        <v>1</v>
      </c>
      <c r="V138" s="1" t="s">
        <v>146</v>
      </c>
    </row>
    <row r="139" spans="1:22" x14ac:dyDescent="0.25">
      <c r="A139" s="102">
        <f t="shared" si="17"/>
        <v>122</v>
      </c>
      <c r="B139" s="101">
        <f t="shared" si="18"/>
        <v>122</v>
      </c>
      <c r="C139" s="73" t="s">
        <v>63</v>
      </c>
      <c r="D139" s="73" t="s">
        <v>566</v>
      </c>
      <c r="E139" s="100">
        <f t="shared" si="15"/>
        <v>1175462.0518470199</v>
      </c>
      <c r="F139" s="107">
        <v>1115776.76</v>
      </c>
      <c r="G139" s="107"/>
      <c r="H139" s="107"/>
      <c r="I139" s="107"/>
      <c r="J139" s="107">
        <v>0</v>
      </c>
      <c r="K139" s="107"/>
      <c r="L139" s="107"/>
      <c r="M139" s="107">
        <v>0</v>
      </c>
      <c r="N139" s="107">
        <v>0</v>
      </c>
      <c r="O139" s="107">
        <v>0</v>
      </c>
      <c r="P139" s="107">
        <v>0</v>
      </c>
      <c r="Q139" s="107">
        <v>0</v>
      </c>
      <c r="R139" s="107"/>
      <c r="S139" s="108"/>
      <c r="T139" s="145">
        <v>59685.291847020017</v>
      </c>
      <c r="U139" s="23">
        <f t="shared" si="16"/>
        <v>1</v>
      </c>
    </row>
    <row r="140" spans="1:22" x14ac:dyDescent="0.25">
      <c r="A140" s="102">
        <f t="shared" si="17"/>
        <v>123</v>
      </c>
      <c r="B140" s="101">
        <f t="shared" si="18"/>
        <v>123</v>
      </c>
      <c r="C140" s="73" t="s">
        <v>54</v>
      </c>
      <c r="D140" s="73" t="s">
        <v>571</v>
      </c>
      <c r="E140" s="100">
        <f t="shared" si="15"/>
        <v>5475068.96438374</v>
      </c>
      <c r="F140" s="107"/>
      <c r="G140" s="107"/>
      <c r="H140" s="107">
        <v>0</v>
      </c>
      <c r="I140" s="107"/>
      <c r="J140" s="107"/>
      <c r="K140" s="107"/>
      <c r="L140" s="107"/>
      <c r="M140" s="107">
        <v>0</v>
      </c>
      <c r="N140" s="107">
        <v>0</v>
      </c>
      <c r="O140" s="144"/>
      <c r="P140" s="107">
        <v>0</v>
      </c>
      <c r="Q140" s="107">
        <v>3924912.66</v>
      </c>
      <c r="R140" s="107">
        <v>1200305.659</v>
      </c>
      <c r="S140" s="108">
        <v>108232.6369</v>
      </c>
      <c r="T140" s="145">
        <v>241618.00848373998</v>
      </c>
      <c r="U140" s="23">
        <f t="shared" si="16"/>
        <v>1</v>
      </c>
      <c r="V140" s="1" t="s">
        <v>149</v>
      </c>
    </row>
    <row r="141" spans="1:22" x14ac:dyDescent="0.25">
      <c r="A141" s="102">
        <f t="shared" si="17"/>
        <v>124</v>
      </c>
      <c r="B141" s="101">
        <f t="shared" si="18"/>
        <v>124</v>
      </c>
      <c r="C141" s="73" t="s">
        <v>54</v>
      </c>
      <c r="D141" s="73" t="s">
        <v>572</v>
      </c>
      <c r="E141" s="100">
        <f t="shared" si="15"/>
        <v>5269327.2909560008</v>
      </c>
      <c r="F141" s="107">
        <v>0</v>
      </c>
      <c r="G141" s="107"/>
      <c r="H141" s="107"/>
      <c r="I141" s="107"/>
      <c r="J141" s="107">
        <v>0</v>
      </c>
      <c r="K141" s="107"/>
      <c r="L141" s="107"/>
      <c r="M141" s="107">
        <v>0</v>
      </c>
      <c r="N141" s="107">
        <v>4903240.6500000004</v>
      </c>
      <c r="O141" s="107">
        <v>0</v>
      </c>
      <c r="P141" s="107">
        <v>0</v>
      </c>
      <c r="Q141" s="107">
        <v>0</v>
      </c>
      <c r="R141" s="107">
        <v>229623.16999999998</v>
      </c>
      <c r="S141" s="108">
        <v>6666.66</v>
      </c>
      <c r="T141" s="145">
        <v>129796.81095600002</v>
      </c>
      <c r="U141" s="23">
        <f t="shared" si="16"/>
        <v>1</v>
      </c>
      <c r="V141" s="1" t="s">
        <v>149</v>
      </c>
    </row>
    <row r="142" spans="1:22" x14ac:dyDescent="0.25">
      <c r="A142" s="102">
        <f t="shared" si="17"/>
        <v>125</v>
      </c>
      <c r="B142" s="101">
        <f t="shared" si="18"/>
        <v>125</v>
      </c>
      <c r="C142" s="73" t="s">
        <v>54</v>
      </c>
      <c r="D142" s="73" t="s">
        <v>573</v>
      </c>
      <c r="E142" s="100">
        <f t="shared" si="15"/>
        <v>5224437.8286898192</v>
      </c>
      <c r="F142" s="107"/>
      <c r="G142" s="107"/>
      <c r="H142" s="107"/>
      <c r="I142" s="107"/>
      <c r="J142" s="107"/>
      <c r="K142" s="107"/>
      <c r="L142" s="107"/>
      <c r="M142" s="107">
        <v>0</v>
      </c>
      <c r="N142" s="107">
        <v>0</v>
      </c>
      <c r="O142" s="144"/>
      <c r="P142" s="107">
        <v>0</v>
      </c>
      <c r="Q142" s="107">
        <v>3209479.43</v>
      </c>
      <c r="R142" s="107">
        <v>1575434.3365000002</v>
      </c>
      <c r="S142" s="108">
        <v>151747.05220000001</v>
      </c>
      <c r="T142" s="145">
        <v>287777.00998981996</v>
      </c>
      <c r="U142" s="23">
        <f t="shared" si="16"/>
        <v>1</v>
      </c>
      <c r="V142" s="1" t="s">
        <v>149</v>
      </c>
    </row>
    <row r="143" spans="1:22" x14ac:dyDescent="0.25">
      <c r="A143" s="102">
        <f t="shared" si="17"/>
        <v>126</v>
      </c>
      <c r="B143" s="101">
        <f t="shared" si="18"/>
        <v>126</v>
      </c>
      <c r="C143" s="73" t="s">
        <v>54</v>
      </c>
      <c r="D143" s="73" t="s">
        <v>574</v>
      </c>
      <c r="E143" s="100">
        <f t="shared" si="15"/>
        <v>5699865.1681458</v>
      </c>
      <c r="F143" s="107"/>
      <c r="G143" s="107"/>
      <c r="H143" s="107"/>
      <c r="I143" s="107"/>
      <c r="J143" s="107"/>
      <c r="K143" s="107"/>
      <c r="L143" s="107"/>
      <c r="M143" s="107">
        <v>0</v>
      </c>
      <c r="N143" s="107">
        <v>0</v>
      </c>
      <c r="O143" s="144"/>
      <c r="P143" s="107">
        <v>0</v>
      </c>
      <c r="Q143" s="107">
        <v>4230200.7</v>
      </c>
      <c r="R143" s="107">
        <v>1151371.1732999999</v>
      </c>
      <c r="S143" s="108">
        <v>109963.64969999999</v>
      </c>
      <c r="T143" s="145">
        <v>208329.64514579996</v>
      </c>
      <c r="U143" s="23">
        <f t="shared" si="16"/>
        <v>1</v>
      </c>
      <c r="V143" s="1" t="s">
        <v>149</v>
      </c>
    </row>
    <row r="144" spans="1:22" x14ac:dyDescent="0.25">
      <c r="A144" s="102">
        <f t="shared" si="17"/>
        <v>127</v>
      </c>
      <c r="B144" s="101">
        <f t="shared" si="18"/>
        <v>127</v>
      </c>
      <c r="C144" s="73" t="s">
        <v>54</v>
      </c>
      <c r="D144" s="73" t="s">
        <v>575</v>
      </c>
      <c r="E144" s="100">
        <f t="shared" si="15"/>
        <v>5854211.9964419995</v>
      </c>
      <c r="F144" s="107">
        <v>0</v>
      </c>
      <c r="G144" s="107"/>
      <c r="H144" s="107"/>
      <c r="I144" s="107"/>
      <c r="J144" s="107">
        <v>0</v>
      </c>
      <c r="K144" s="107"/>
      <c r="L144" s="107"/>
      <c r="M144" s="107">
        <v>0</v>
      </c>
      <c r="N144" s="107">
        <v>5484086.3899999997</v>
      </c>
      <c r="O144" s="107">
        <v>0</v>
      </c>
      <c r="P144" s="107">
        <v>0</v>
      </c>
      <c r="Q144" s="107">
        <v>0</v>
      </c>
      <c r="R144" s="107">
        <v>229304.55</v>
      </c>
      <c r="S144" s="108">
        <v>6666.66</v>
      </c>
      <c r="T144" s="145">
        <v>134154.396442</v>
      </c>
      <c r="U144" s="23">
        <f t="shared" si="16"/>
        <v>1</v>
      </c>
      <c r="V144" s="1" t="s">
        <v>149</v>
      </c>
    </row>
    <row r="145" spans="1:22" x14ac:dyDescent="0.25">
      <c r="A145" s="102">
        <f t="shared" si="17"/>
        <v>128</v>
      </c>
      <c r="B145" s="101">
        <f t="shared" si="18"/>
        <v>128</v>
      </c>
      <c r="C145" s="73" t="s">
        <v>55</v>
      </c>
      <c r="D145" s="73" t="s">
        <v>583</v>
      </c>
      <c r="E145" s="100">
        <f t="shared" si="15"/>
        <v>7339250.7175320005</v>
      </c>
      <c r="F145" s="144"/>
      <c r="G145" s="144"/>
      <c r="H145" s="144"/>
      <c r="I145" s="144"/>
      <c r="J145" s="107">
        <v>0</v>
      </c>
      <c r="K145" s="107"/>
      <c r="L145" s="107"/>
      <c r="M145" s="107">
        <v>0</v>
      </c>
      <c r="N145" s="107">
        <v>6665001.5300000003</v>
      </c>
      <c r="O145" s="107">
        <v>0</v>
      </c>
      <c r="P145" s="107"/>
      <c r="Q145" s="107"/>
      <c r="R145" s="107"/>
      <c r="S145" s="108"/>
      <c r="T145" s="145">
        <v>674249.18753199989</v>
      </c>
      <c r="U145" s="23">
        <f t="shared" si="16"/>
        <v>1</v>
      </c>
      <c r="V145" s="1" t="s">
        <v>146</v>
      </c>
    </row>
    <row r="146" spans="1:22" x14ac:dyDescent="0.25">
      <c r="A146" s="102">
        <f t="shared" si="17"/>
        <v>129</v>
      </c>
      <c r="B146" s="101">
        <f t="shared" si="18"/>
        <v>129</v>
      </c>
      <c r="C146" s="73" t="s">
        <v>65</v>
      </c>
      <c r="D146" s="73" t="s">
        <v>585</v>
      </c>
      <c r="E146" s="100">
        <f t="shared" ref="E146:E177" si="19">SUBTOTAL(9,F146:T146)</f>
        <v>7581577</v>
      </c>
      <c r="F146" s="107">
        <v>5331233.07</v>
      </c>
      <c r="G146" s="107"/>
      <c r="H146" s="107"/>
      <c r="I146" s="107">
        <v>2162679.08</v>
      </c>
      <c r="J146" s="107">
        <v>0</v>
      </c>
      <c r="K146" s="107"/>
      <c r="L146" s="107"/>
      <c r="M146" s="107">
        <v>0</v>
      </c>
      <c r="N146" s="107"/>
      <c r="O146" s="107">
        <v>0</v>
      </c>
      <c r="P146" s="107"/>
      <c r="Q146" s="144"/>
      <c r="R146" s="107"/>
      <c r="S146" s="107"/>
      <c r="T146" s="145">
        <v>87664.849999999991</v>
      </c>
      <c r="U146" s="23">
        <f t="shared" ref="U146:U177" si="20">COUNTIF(F146:Q146,"&gt;0")</f>
        <v>2</v>
      </c>
      <c r="V146" s="1" t="s">
        <v>146</v>
      </c>
    </row>
    <row r="147" spans="1:22" x14ac:dyDescent="0.25">
      <c r="A147" s="102">
        <f t="shared" ref="A147:A178" si="21">+A146+1</f>
        <v>130</v>
      </c>
      <c r="B147" s="101">
        <f t="shared" ref="B147:B178" si="22">+B146+1</f>
        <v>130</v>
      </c>
      <c r="C147" s="73" t="s">
        <v>65</v>
      </c>
      <c r="D147" s="73" t="s">
        <v>586</v>
      </c>
      <c r="E147" s="100">
        <f t="shared" si="19"/>
        <v>12740666.644782159</v>
      </c>
      <c r="F147" s="107">
        <v>0</v>
      </c>
      <c r="G147" s="107">
        <v>0</v>
      </c>
      <c r="H147" s="107"/>
      <c r="I147" s="107">
        <v>0</v>
      </c>
      <c r="J147" s="107">
        <v>0</v>
      </c>
      <c r="K147" s="107"/>
      <c r="L147" s="107"/>
      <c r="M147" s="107">
        <v>0</v>
      </c>
      <c r="N147" s="107">
        <v>0</v>
      </c>
      <c r="O147" s="107">
        <v>0</v>
      </c>
      <c r="P147" s="107">
        <v>12568038.82</v>
      </c>
      <c r="Q147" s="107">
        <v>0</v>
      </c>
      <c r="R147" s="107"/>
      <c r="S147" s="108"/>
      <c r="T147" s="145">
        <v>172627.82478215999</v>
      </c>
      <c r="U147" s="23">
        <f t="shared" si="20"/>
        <v>1</v>
      </c>
    </row>
    <row r="148" spans="1:22" x14ac:dyDescent="0.25">
      <c r="A148" s="102">
        <f t="shared" si="21"/>
        <v>131</v>
      </c>
      <c r="B148" s="101">
        <f t="shared" si="22"/>
        <v>131</v>
      </c>
      <c r="C148" s="73" t="s">
        <v>45</v>
      </c>
      <c r="D148" s="73" t="s">
        <v>221</v>
      </c>
      <c r="E148" s="100">
        <f t="shared" si="19"/>
        <v>275546.21000000002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/>
      <c r="L148" s="107"/>
      <c r="M148" s="107">
        <v>0</v>
      </c>
      <c r="N148" s="107">
        <v>0</v>
      </c>
      <c r="O148" s="107">
        <v>0</v>
      </c>
      <c r="P148" s="107">
        <v>0</v>
      </c>
      <c r="Q148" s="107">
        <v>275546.21000000002</v>
      </c>
      <c r="R148" s="107"/>
      <c r="S148" s="108"/>
      <c r="T148" s="145"/>
      <c r="U148" s="23">
        <f t="shared" si="20"/>
        <v>1</v>
      </c>
    </row>
    <row r="149" spans="1:22" x14ac:dyDescent="0.25">
      <c r="A149" s="102">
        <f t="shared" si="21"/>
        <v>132</v>
      </c>
      <c r="B149" s="101">
        <f t="shared" si="22"/>
        <v>132</v>
      </c>
      <c r="C149" s="73" t="s">
        <v>45</v>
      </c>
      <c r="D149" s="73" t="s">
        <v>608</v>
      </c>
      <c r="E149" s="100">
        <f t="shared" si="19"/>
        <v>2485206.7500000005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/>
      <c r="L149" s="107"/>
      <c r="M149" s="107">
        <v>0</v>
      </c>
      <c r="N149" s="107">
        <v>1968122.3400000003</v>
      </c>
      <c r="O149" s="107">
        <v>0</v>
      </c>
      <c r="P149" s="107">
        <v>0</v>
      </c>
      <c r="Q149" s="107">
        <v>517084.41000000003</v>
      </c>
      <c r="R149" s="107"/>
      <c r="S149" s="108"/>
      <c r="T149" s="145"/>
      <c r="U149" s="23">
        <f t="shared" si="20"/>
        <v>2</v>
      </c>
    </row>
    <row r="150" spans="1:22" x14ac:dyDescent="0.25">
      <c r="A150" s="102">
        <f t="shared" si="21"/>
        <v>133</v>
      </c>
      <c r="B150" s="101">
        <f t="shared" si="22"/>
        <v>133</v>
      </c>
      <c r="C150" s="73" t="s">
        <v>45</v>
      </c>
      <c r="D150" s="73" t="s">
        <v>612</v>
      </c>
      <c r="E150" s="100">
        <f t="shared" si="19"/>
        <v>1052989.615364</v>
      </c>
      <c r="F150" s="107"/>
      <c r="G150" s="107">
        <v>624846.18000000005</v>
      </c>
      <c r="H150" s="107"/>
      <c r="I150" s="107">
        <v>317481.74</v>
      </c>
      <c r="J150" s="107">
        <v>0</v>
      </c>
      <c r="K150" s="107"/>
      <c r="L150" s="107"/>
      <c r="M150" s="107">
        <v>0</v>
      </c>
      <c r="N150" s="107"/>
      <c r="O150" s="107">
        <v>0</v>
      </c>
      <c r="P150" s="107"/>
      <c r="Q150" s="107"/>
      <c r="R150" s="107"/>
      <c r="S150" s="108"/>
      <c r="T150" s="145">
        <v>110661.69536400001</v>
      </c>
      <c r="U150" s="23">
        <f t="shared" si="20"/>
        <v>2</v>
      </c>
      <c r="V150" s="1" t="s">
        <v>146</v>
      </c>
    </row>
    <row r="151" spans="1:22" x14ac:dyDescent="0.25">
      <c r="A151" s="102">
        <f t="shared" si="21"/>
        <v>134</v>
      </c>
      <c r="B151" s="101">
        <f t="shared" si="22"/>
        <v>134</v>
      </c>
      <c r="C151" s="73" t="s">
        <v>45</v>
      </c>
      <c r="D151" s="73" t="s">
        <v>606</v>
      </c>
      <c r="E151" s="100">
        <f t="shared" si="19"/>
        <v>1332134.6908183601</v>
      </c>
      <c r="F151" s="107"/>
      <c r="G151" s="107">
        <v>691727.99</v>
      </c>
      <c r="H151" s="107"/>
      <c r="I151" s="107">
        <v>374090.08</v>
      </c>
      <c r="J151" s="107">
        <v>0</v>
      </c>
      <c r="K151" s="107"/>
      <c r="L151" s="107"/>
      <c r="M151" s="107">
        <v>0</v>
      </c>
      <c r="N151" s="107"/>
      <c r="O151" s="107"/>
      <c r="P151" s="107"/>
      <c r="Q151" s="144"/>
      <c r="R151" s="107"/>
      <c r="S151" s="108"/>
      <c r="T151" s="145">
        <v>266316.62081835995</v>
      </c>
      <c r="U151" s="23">
        <f t="shared" si="20"/>
        <v>2</v>
      </c>
      <c r="V151" s="1" t="s">
        <v>146</v>
      </c>
    </row>
    <row r="152" spans="1:22" x14ac:dyDescent="0.25">
      <c r="A152" s="102">
        <f t="shared" si="21"/>
        <v>135</v>
      </c>
      <c r="B152" s="101">
        <f t="shared" si="22"/>
        <v>135</v>
      </c>
      <c r="C152" s="73" t="s">
        <v>45</v>
      </c>
      <c r="D152" s="73" t="s">
        <v>607</v>
      </c>
      <c r="E152" s="100">
        <f t="shared" si="19"/>
        <v>1168589.4982480002</v>
      </c>
      <c r="F152" s="107"/>
      <c r="G152" s="107">
        <v>552436.80000000005</v>
      </c>
      <c r="H152" s="107"/>
      <c r="I152" s="107">
        <v>297229.53999999998</v>
      </c>
      <c r="J152" s="107">
        <v>0</v>
      </c>
      <c r="K152" s="107"/>
      <c r="L152" s="107"/>
      <c r="M152" s="107">
        <v>0</v>
      </c>
      <c r="N152" s="107"/>
      <c r="O152" s="107">
        <v>0</v>
      </c>
      <c r="P152" s="107"/>
      <c r="Q152" s="144"/>
      <c r="R152" s="107"/>
      <c r="S152" s="108"/>
      <c r="T152" s="145">
        <v>318923.15824800002</v>
      </c>
      <c r="U152" s="23">
        <f t="shared" si="20"/>
        <v>2</v>
      </c>
      <c r="V152" s="1" t="s">
        <v>146</v>
      </c>
    </row>
    <row r="153" spans="1:22" x14ac:dyDescent="0.25">
      <c r="A153" s="102">
        <f t="shared" si="21"/>
        <v>136</v>
      </c>
      <c r="B153" s="101">
        <f t="shared" si="22"/>
        <v>136</v>
      </c>
      <c r="C153" s="73" t="s">
        <v>46</v>
      </c>
      <c r="D153" s="73" t="s">
        <v>624</v>
      </c>
      <c r="E153" s="100">
        <f t="shared" si="19"/>
        <v>2714987.2110886802</v>
      </c>
      <c r="F153" s="107">
        <v>2562577.02</v>
      </c>
      <c r="G153" s="107">
        <v>0</v>
      </c>
      <c r="H153" s="107"/>
      <c r="I153" s="107">
        <v>0</v>
      </c>
      <c r="J153" s="107">
        <v>0</v>
      </c>
      <c r="K153" s="107"/>
      <c r="L153" s="107"/>
      <c r="M153" s="107">
        <v>0</v>
      </c>
      <c r="N153" s="107">
        <v>0</v>
      </c>
      <c r="O153" s="107">
        <v>0</v>
      </c>
      <c r="P153" s="107"/>
      <c r="Q153" s="107">
        <v>0</v>
      </c>
      <c r="R153" s="107"/>
      <c r="S153" s="108"/>
      <c r="T153" s="145">
        <v>152410.19108868</v>
      </c>
      <c r="U153" s="23">
        <f t="shared" si="20"/>
        <v>1</v>
      </c>
    </row>
    <row r="154" spans="1:22" x14ac:dyDescent="0.25">
      <c r="A154" s="102">
        <f t="shared" si="21"/>
        <v>137</v>
      </c>
      <c r="B154" s="101">
        <f t="shared" si="22"/>
        <v>137</v>
      </c>
      <c r="C154" s="73" t="s">
        <v>46</v>
      </c>
      <c r="D154" s="73" t="s">
        <v>625</v>
      </c>
      <c r="E154" s="100">
        <f t="shared" si="19"/>
        <v>49829681.060927205</v>
      </c>
      <c r="F154" s="107"/>
      <c r="G154" s="107">
        <v>8054732.7000000002</v>
      </c>
      <c r="H154" s="107">
        <v>3326392.27</v>
      </c>
      <c r="I154" s="107"/>
      <c r="J154" s="107"/>
      <c r="K154" s="107"/>
      <c r="L154" s="107"/>
      <c r="M154" s="107"/>
      <c r="N154" s="107">
        <v>6383560.5599999996</v>
      </c>
      <c r="O154" s="107">
        <v>0</v>
      </c>
      <c r="P154" s="107">
        <v>14384597.800000001</v>
      </c>
      <c r="Q154" s="107">
        <v>14838033.07</v>
      </c>
      <c r="R154" s="107"/>
      <c r="S154" s="108"/>
      <c r="T154" s="145">
        <v>2842364.6609271998</v>
      </c>
      <c r="U154" s="23">
        <f t="shared" si="20"/>
        <v>5</v>
      </c>
    </row>
    <row r="155" spans="1:22" x14ac:dyDescent="0.25">
      <c r="A155" s="102">
        <f t="shared" si="21"/>
        <v>138</v>
      </c>
      <c r="B155" s="101">
        <f t="shared" si="22"/>
        <v>138</v>
      </c>
      <c r="C155" s="73" t="s">
        <v>46</v>
      </c>
      <c r="D155" s="73" t="s">
        <v>626</v>
      </c>
      <c r="E155" s="100">
        <f t="shared" si="19"/>
        <v>3072511.9939301223</v>
      </c>
      <c r="F155" s="107"/>
      <c r="G155" s="107"/>
      <c r="H155" s="107"/>
      <c r="I155" s="107"/>
      <c r="J155" s="107"/>
      <c r="K155" s="107"/>
      <c r="L155" s="107"/>
      <c r="M155" s="107">
        <v>2869496.64</v>
      </c>
      <c r="N155" s="107"/>
      <c r="O155" s="107"/>
      <c r="P155" s="107"/>
      <c r="Q155" s="107"/>
      <c r="R155" s="107">
        <v>104919.11907839999</v>
      </c>
      <c r="S155" s="108">
        <v>24000</v>
      </c>
      <c r="T155" s="145">
        <v>74096.234851722242</v>
      </c>
      <c r="U155" s="23">
        <f t="shared" si="20"/>
        <v>1</v>
      </c>
    </row>
    <row r="156" spans="1:22" x14ac:dyDescent="0.25">
      <c r="A156" s="102">
        <f t="shared" si="21"/>
        <v>139</v>
      </c>
      <c r="B156" s="101">
        <f t="shared" si="22"/>
        <v>139</v>
      </c>
      <c r="C156" s="73" t="s">
        <v>46</v>
      </c>
      <c r="D156" s="73" t="s">
        <v>627</v>
      </c>
      <c r="E156" s="100">
        <f t="shared" si="19"/>
        <v>3072474.8799129105</v>
      </c>
      <c r="F156" s="107"/>
      <c r="G156" s="107"/>
      <c r="H156" s="107"/>
      <c r="I156" s="107"/>
      <c r="J156" s="107"/>
      <c r="K156" s="107"/>
      <c r="L156" s="107"/>
      <c r="M156" s="107">
        <v>2869496.64</v>
      </c>
      <c r="N156" s="107"/>
      <c r="O156" s="107"/>
      <c r="P156" s="107"/>
      <c r="Q156" s="107"/>
      <c r="R156" s="107">
        <v>104881.19345280001</v>
      </c>
      <c r="S156" s="108">
        <v>24000</v>
      </c>
      <c r="T156" s="145">
        <v>74097.046460110083</v>
      </c>
      <c r="U156" s="23">
        <f t="shared" si="20"/>
        <v>1</v>
      </c>
    </row>
    <row r="157" spans="1:22" x14ac:dyDescent="0.25">
      <c r="A157" s="102">
        <f t="shared" si="21"/>
        <v>140</v>
      </c>
      <c r="B157" s="101">
        <f t="shared" si="22"/>
        <v>140</v>
      </c>
      <c r="C157" s="73" t="s">
        <v>46</v>
      </c>
      <c r="D157" s="73" t="s">
        <v>628</v>
      </c>
      <c r="E157" s="100">
        <f t="shared" si="19"/>
        <v>3072835.2361071859</v>
      </c>
      <c r="F157" s="107"/>
      <c r="G157" s="107"/>
      <c r="H157" s="107"/>
      <c r="I157" s="107"/>
      <c r="J157" s="107"/>
      <c r="K157" s="107"/>
      <c r="L157" s="107"/>
      <c r="M157" s="107">
        <v>2869496.64</v>
      </c>
      <c r="N157" s="107"/>
      <c r="O157" s="107"/>
      <c r="P157" s="107"/>
      <c r="Q157" s="107"/>
      <c r="R157" s="107">
        <v>105249.4299072</v>
      </c>
      <c r="S157" s="108">
        <v>24000</v>
      </c>
      <c r="T157" s="145">
        <v>74089.166199985935</v>
      </c>
      <c r="U157" s="23">
        <f t="shared" si="20"/>
        <v>1</v>
      </c>
    </row>
    <row r="158" spans="1:22" x14ac:dyDescent="0.25">
      <c r="A158" s="102">
        <f t="shared" si="21"/>
        <v>141</v>
      </c>
      <c r="B158" s="101">
        <f t="shared" si="22"/>
        <v>141</v>
      </c>
      <c r="C158" s="73" t="s">
        <v>46</v>
      </c>
      <c r="D158" s="73" t="s">
        <v>629</v>
      </c>
      <c r="E158" s="100">
        <f t="shared" si="19"/>
        <v>6284189.3513380401</v>
      </c>
      <c r="F158" s="107">
        <v>3826027.56</v>
      </c>
      <c r="G158" s="107">
        <v>0</v>
      </c>
      <c r="H158" s="107">
        <v>0</v>
      </c>
      <c r="I158" s="107">
        <v>2180636.06</v>
      </c>
      <c r="J158" s="107">
        <v>0</v>
      </c>
      <c r="K158" s="107"/>
      <c r="L158" s="107"/>
      <c r="M158" s="107">
        <v>0</v>
      </c>
      <c r="N158" s="107">
        <v>0</v>
      </c>
      <c r="O158" s="107">
        <v>0</v>
      </c>
      <c r="P158" s="107">
        <v>0</v>
      </c>
      <c r="Q158" s="107">
        <v>0</v>
      </c>
      <c r="R158" s="107"/>
      <c r="S158" s="108"/>
      <c r="T158" s="145">
        <v>277525.73133804003</v>
      </c>
      <c r="U158" s="23">
        <f t="shared" si="20"/>
        <v>2</v>
      </c>
      <c r="V158" s="1" t="s">
        <v>149</v>
      </c>
    </row>
    <row r="159" spans="1:22" x14ac:dyDescent="0.25">
      <c r="A159" s="102">
        <f t="shared" si="21"/>
        <v>142</v>
      </c>
      <c r="B159" s="101">
        <f t="shared" si="22"/>
        <v>142</v>
      </c>
      <c r="C159" s="73" t="s">
        <v>46</v>
      </c>
      <c r="D159" s="73" t="s">
        <v>630</v>
      </c>
      <c r="E159" s="100">
        <f t="shared" si="19"/>
        <v>863296.86591239995</v>
      </c>
      <c r="F159" s="107">
        <v>0</v>
      </c>
      <c r="G159" s="107">
        <v>0</v>
      </c>
      <c r="H159" s="107">
        <v>782900.97</v>
      </c>
      <c r="I159" s="107"/>
      <c r="J159" s="107">
        <v>0</v>
      </c>
      <c r="K159" s="107"/>
      <c r="L159" s="107"/>
      <c r="M159" s="107">
        <v>0</v>
      </c>
      <c r="N159" s="107">
        <v>0</v>
      </c>
      <c r="O159" s="107">
        <v>0</v>
      </c>
      <c r="P159" s="107">
        <v>0</v>
      </c>
      <c r="Q159" s="107">
        <v>0</v>
      </c>
      <c r="R159" s="107"/>
      <c r="S159" s="108"/>
      <c r="T159" s="145">
        <v>80395.895912399996</v>
      </c>
      <c r="U159" s="23">
        <f t="shared" si="20"/>
        <v>1</v>
      </c>
    </row>
    <row r="160" spans="1:22" x14ac:dyDescent="0.25">
      <c r="A160" s="102">
        <f t="shared" si="21"/>
        <v>143</v>
      </c>
      <c r="B160" s="101">
        <f t="shared" si="22"/>
        <v>143</v>
      </c>
      <c r="C160" s="73" t="s">
        <v>46</v>
      </c>
      <c r="D160" s="73" t="s">
        <v>631</v>
      </c>
      <c r="E160" s="100">
        <f t="shared" si="19"/>
        <v>11321051.292631399</v>
      </c>
      <c r="F160" s="107">
        <v>3735913.84</v>
      </c>
      <c r="G160" s="107">
        <v>627030.85</v>
      </c>
      <c r="H160" s="107">
        <v>1443652.49</v>
      </c>
      <c r="I160" s="107">
        <v>1126366.8799999999</v>
      </c>
      <c r="J160" s="107">
        <v>0</v>
      </c>
      <c r="K160" s="107"/>
      <c r="L160" s="107"/>
      <c r="M160" s="107">
        <v>0</v>
      </c>
      <c r="N160" s="107">
        <v>0</v>
      </c>
      <c r="O160" s="107">
        <v>0</v>
      </c>
      <c r="P160" s="107">
        <v>0</v>
      </c>
      <c r="Q160" s="107">
        <v>4237247.8099999996</v>
      </c>
      <c r="R160" s="107"/>
      <c r="S160" s="108"/>
      <c r="T160" s="145">
        <v>150839.4226314</v>
      </c>
      <c r="U160" s="23">
        <f t="shared" si="20"/>
        <v>5</v>
      </c>
      <c r="V160" s="1" t="s">
        <v>149</v>
      </c>
    </row>
    <row r="161" spans="1:22" x14ac:dyDescent="0.25">
      <c r="A161" s="102">
        <f t="shared" si="21"/>
        <v>144</v>
      </c>
      <c r="B161" s="101">
        <f t="shared" si="22"/>
        <v>144</v>
      </c>
      <c r="C161" s="73" t="s">
        <v>46</v>
      </c>
      <c r="D161" s="73" t="s">
        <v>632</v>
      </c>
      <c r="E161" s="100">
        <f t="shared" si="19"/>
        <v>498098.01</v>
      </c>
      <c r="F161" s="107">
        <v>0</v>
      </c>
      <c r="G161" s="107"/>
      <c r="H161" s="107">
        <v>498098.01</v>
      </c>
      <c r="I161" s="107">
        <v>0</v>
      </c>
      <c r="J161" s="107">
        <v>0</v>
      </c>
      <c r="K161" s="107"/>
      <c r="L161" s="107"/>
      <c r="M161" s="107">
        <v>0</v>
      </c>
      <c r="N161" s="107"/>
      <c r="O161" s="107">
        <v>0</v>
      </c>
      <c r="P161" s="107"/>
      <c r="Q161" s="107"/>
      <c r="R161" s="107"/>
      <c r="S161" s="108"/>
      <c r="T161" s="145"/>
      <c r="U161" s="23">
        <f t="shared" si="20"/>
        <v>1</v>
      </c>
    </row>
    <row r="162" spans="1:22" x14ac:dyDescent="0.25">
      <c r="A162" s="102">
        <f t="shared" si="21"/>
        <v>145</v>
      </c>
      <c r="B162" s="101">
        <f t="shared" si="22"/>
        <v>145</v>
      </c>
      <c r="C162" s="73" t="s">
        <v>46</v>
      </c>
      <c r="D162" s="73" t="s">
        <v>222</v>
      </c>
      <c r="E162" s="100">
        <f t="shared" si="19"/>
        <v>2689617.46</v>
      </c>
      <c r="F162" s="107">
        <v>0</v>
      </c>
      <c r="G162" s="107">
        <v>0</v>
      </c>
      <c r="H162" s="107">
        <v>2689617.46</v>
      </c>
      <c r="I162" s="107">
        <v>0</v>
      </c>
      <c r="J162" s="107">
        <v>0</v>
      </c>
      <c r="K162" s="107"/>
      <c r="L162" s="107"/>
      <c r="M162" s="107">
        <v>0</v>
      </c>
      <c r="N162" s="107">
        <v>0</v>
      </c>
      <c r="O162" s="107">
        <v>0</v>
      </c>
      <c r="P162" s="107">
        <v>0</v>
      </c>
      <c r="Q162" s="107">
        <v>0</v>
      </c>
      <c r="R162" s="107"/>
      <c r="S162" s="108"/>
      <c r="T162" s="145"/>
      <c r="U162" s="23">
        <f t="shared" si="20"/>
        <v>1</v>
      </c>
    </row>
    <row r="163" spans="1:22" s="82" customFormat="1" x14ac:dyDescent="0.25">
      <c r="A163" s="102">
        <f t="shared" si="21"/>
        <v>146</v>
      </c>
      <c r="B163" s="101">
        <f t="shared" si="22"/>
        <v>146</v>
      </c>
      <c r="C163" s="73" t="s">
        <v>46</v>
      </c>
      <c r="D163" s="73" t="s">
        <v>633</v>
      </c>
      <c r="E163" s="100">
        <f t="shared" si="19"/>
        <v>25727773.27</v>
      </c>
      <c r="F163" s="107"/>
      <c r="G163" s="107">
        <v>3182426.63</v>
      </c>
      <c r="H163" s="107"/>
      <c r="I163" s="107"/>
      <c r="J163" s="107">
        <v>0</v>
      </c>
      <c r="K163" s="107"/>
      <c r="L163" s="107"/>
      <c r="M163" s="107">
        <v>0</v>
      </c>
      <c r="N163" s="107">
        <v>0</v>
      </c>
      <c r="O163" s="107">
        <v>0</v>
      </c>
      <c r="P163" s="107">
        <v>0</v>
      </c>
      <c r="Q163" s="107">
        <v>22545346.640000001</v>
      </c>
      <c r="R163" s="107"/>
      <c r="S163" s="108"/>
      <c r="T163" s="145"/>
      <c r="U163" s="85">
        <f t="shared" si="20"/>
        <v>2</v>
      </c>
    </row>
    <row r="164" spans="1:22" x14ac:dyDescent="0.25">
      <c r="A164" s="102">
        <f t="shared" si="21"/>
        <v>147</v>
      </c>
      <c r="B164" s="101">
        <f t="shared" si="22"/>
        <v>147</v>
      </c>
      <c r="C164" s="73" t="s">
        <v>46</v>
      </c>
      <c r="D164" s="73" t="s">
        <v>634</v>
      </c>
      <c r="E164" s="100">
        <f t="shared" si="19"/>
        <v>9962928.3052925188</v>
      </c>
      <c r="F164" s="107"/>
      <c r="G164" s="107">
        <v>7323917.46</v>
      </c>
      <c r="H164" s="107"/>
      <c r="I164" s="107">
        <v>2315022.9</v>
      </c>
      <c r="J164" s="107">
        <v>0</v>
      </c>
      <c r="K164" s="107"/>
      <c r="L164" s="107"/>
      <c r="M164" s="107">
        <v>0</v>
      </c>
      <c r="N164" s="107">
        <v>0</v>
      </c>
      <c r="O164" s="107">
        <v>0</v>
      </c>
      <c r="P164" s="107">
        <v>0</v>
      </c>
      <c r="Q164" s="107"/>
      <c r="R164" s="107"/>
      <c r="S164" s="108"/>
      <c r="T164" s="145">
        <v>323987.94529252005</v>
      </c>
      <c r="U164" s="23">
        <f t="shared" si="20"/>
        <v>2</v>
      </c>
    </row>
    <row r="165" spans="1:22" x14ac:dyDescent="0.25">
      <c r="A165" s="102">
        <f t="shared" si="21"/>
        <v>148</v>
      </c>
      <c r="B165" s="101">
        <f t="shared" si="22"/>
        <v>148</v>
      </c>
      <c r="C165" s="73" t="s">
        <v>46</v>
      </c>
      <c r="D165" s="73" t="s">
        <v>635</v>
      </c>
      <c r="E165" s="100">
        <f t="shared" si="19"/>
        <v>53790180.38000001</v>
      </c>
      <c r="F165" s="107">
        <v>5141989.9000000004</v>
      </c>
      <c r="G165" s="107"/>
      <c r="H165" s="107">
        <v>2714177.72</v>
      </c>
      <c r="I165" s="107"/>
      <c r="J165" s="107">
        <v>0</v>
      </c>
      <c r="K165" s="107"/>
      <c r="L165" s="107"/>
      <c r="M165" s="107">
        <v>0</v>
      </c>
      <c r="N165" s="107">
        <v>0</v>
      </c>
      <c r="O165" s="107">
        <v>0</v>
      </c>
      <c r="P165" s="107">
        <f>37030869.74+5977035.1</f>
        <v>43007904.840000004</v>
      </c>
      <c r="Q165" s="107"/>
      <c r="R165" s="107"/>
      <c r="S165" s="108"/>
      <c r="T165" s="145">
        <v>2926107.92</v>
      </c>
      <c r="U165" s="23">
        <f t="shared" si="20"/>
        <v>3</v>
      </c>
      <c r="V165" s="1" t="s">
        <v>146</v>
      </c>
    </row>
    <row r="166" spans="1:22" x14ac:dyDescent="0.25">
      <c r="A166" s="102">
        <f t="shared" si="21"/>
        <v>149</v>
      </c>
      <c r="B166" s="101">
        <f t="shared" si="22"/>
        <v>149</v>
      </c>
      <c r="C166" s="73" t="s">
        <v>46</v>
      </c>
      <c r="D166" s="73" t="s">
        <v>636</v>
      </c>
      <c r="E166" s="100">
        <f t="shared" si="19"/>
        <v>17169391.084560137</v>
      </c>
      <c r="F166" s="107">
        <v>3172690.78</v>
      </c>
      <c r="G166" s="107">
        <v>0</v>
      </c>
      <c r="H166" s="107">
        <v>0</v>
      </c>
      <c r="I166" s="107"/>
      <c r="J166" s="107">
        <v>0</v>
      </c>
      <c r="K166" s="107"/>
      <c r="L166" s="107"/>
      <c r="M166" s="107">
        <v>0</v>
      </c>
      <c r="N166" s="107">
        <v>5090700.49</v>
      </c>
      <c r="O166" s="107">
        <v>0</v>
      </c>
      <c r="P166" s="107">
        <v>7382703.5599999996</v>
      </c>
      <c r="Q166" s="107"/>
      <c r="R166" s="107"/>
      <c r="S166" s="108"/>
      <c r="T166" s="145">
        <v>1523296.25456014</v>
      </c>
      <c r="U166" s="23">
        <f t="shared" si="20"/>
        <v>3</v>
      </c>
      <c r="V166" s="1" t="s">
        <v>146</v>
      </c>
    </row>
    <row r="167" spans="1:22" x14ac:dyDescent="0.25">
      <c r="A167" s="102">
        <f t="shared" si="21"/>
        <v>150</v>
      </c>
      <c r="B167" s="101">
        <f t="shared" si="22"/>
        <v>150</v>
      </c>
      <c r="C167" s="73" t="s">
        <v>46</v>
      </c>
      <c r="D167" s="73" t="s">
        <v>637</v>
      </c>
      <c r="E167" s="100">
        <f t="shared" si="19"/>
        <v>1160745.41417932</v>
      </c>
      <c r="F167" s="107"/>
      <c r="G167" s="107"/>
      <c r="H167" s="107"/>
      <c r="I167" s="107"/>
      <c r="J167" s="107"/>
      <c r="K167" s="107"/>
      <c r="L167" s="107"/>
      <c r="M167" s="107">
        <v>0</v>
      </c>
      <c r="N167" s="107">
        <v>0</v>
      </c>
      <c r="O167" s="107">
        <v>0</v>
      </c>
      <c r="P167" s="107"/>
      <c r="Q167" s="107">
        <v>585673.72</v>
      </c>
      <c r="R167" s="107"/>
      <c r="S167" s="108"/>
      <c r="T167" s="145">
        <v>575071.69417932001</v>
      </c>
      <c r="U167" s="23">
        <f t="shared" si="20"/>
        <v>1</v>
      </c>
      <c r="V167" s="1" t="s">
        <v>146</v>
      </c>
    </row>
    <row r="168" spans="1:22" x14ac:dyDescent="0.25">
      <c r="A168" s="102">
        <f t="shared" si="21"/>
        <v>151</v>
      </c>
      <c r="B168" s="101">
        <f t="shared" si="22"/>
        <v>151</v>
      </c>
      <c r="C168" s="73" t="s">
        <v>46</v>
      </c>
      <c r="D168" s="73" t="s">
        <v>638</v>
      </c>
      <c r="E168" s="100">
        <f t="shared" si="19"/>
        <v>8066054.8088218002</v>
      </c>
      <c r="F168" s="107"/>
      <c r="G168" s="107"/>
      <c r="H168" s="107">
        <v>3648621.62</v>
      </c>
      <c r="I168" s="107">
        <v>3268542.62</v>
      </c>
      <c r="J168" s="107">
        <v>0</v>
      </c>
      <c r="K168" s="107"/>
      <c r="L168" s="107"/>
      <c r="M168" s="107">
        <v>0</v>
      </c>
      <c r="N168" s="107">
        <v>0</v>
      </c>
      <c r="O168" s="107">
        <v>0</v>
      </c>
      <c r="P168" s="107">
        <v>0</v>
      </c>
      <c r="Q168" s="107">
        <v>0</v>
      </c>
      <c r="R168" s="107">
        <v>630230.47770000005</v>
      </c>
      <c r="S168" s="108">
        <v>85014.565300000002</v>
      </c>
      <c r="T168" s="145">
        <v>433645.52582179999</v>
      </c>
      <c r="U168" s="23">
        <f t="shared" si="20"/>
        <v>2</v>
      </c>
      <c r="V168" s="1" t="s">
        <v>149</v>
      </c>
    </row>
    <row r="169" spans="1:22" x14ac:dyDescent="0.25">
      <c r="A169" s="102">
        <f t="shared" si="21"/>
        <v>152</v>
      </c>
      <c r="B169" s="101">
        <f t="shared" si="22"/>
        <v>152</v>
      </c>
      <c r="C169" s="73" t="s">
        <v>57</v>
      </c>
      <c r="D169" s="73" t="s">
        <v>671</v>
      </c>
      <c r="E169" s="100">
        <f t="shared" si="19"/>
        <v>10316811.362920118</v>
      </c>
      <c r="F169" s="107"/>
      <c r="G169" s="107"/>
      <c r="H169" s="107">
        <v>0</v>
      </c>
      <c r="I169" s="107">
        <v>0</v>
      </c>
      <c r="J169" s="107">
        <v>0</v>
      </c>
      <c r="K169" s="107"/>
      <c r="L169" s="107"/>
      <c r="M169" s="107">
        <v>0</v>
      </c>
      <c r="N169" s="107">
        <v>9398785.4499999993</v>
      </c>
      <c r="O169" s="107">
        <v>0</v>
      </c>
      <c r="P169" s="107">
        <v>0</v>
      </c>
      <c r="Q169" s="107">
        <v>0</v>
      </c>
      <c r="R169" s="107"/>
      <c r="S169" s="108"/>
      <c r="T169" s="145">
        <v>918025.91292012006</v>
      </c>
      <c r="U169" s="23">
        <f t="shared" si="20"/>
        <v>1</v>
      </c>
      <c r="V169" s="1" t="s">
        <v>149</v>
      </c>
    </row>
    <row r="170" spans="1:22" x14ac:dyDescent="0.25">
      <c r="A170" s="102">
        <f t="shared" si="21"/>
        <v>153</v>
      </c>
      <c r="B170" s="101">
        <f t="shared" si="22"/>
        <v>153</v>
      </c>
      <c r="C170" s="73" t="s">
        <v>57</v>
      </c>
      <c r="D170" s="73" t="s">
        <v>672</v>
      </c>
      <c r="E170" s="100">
        <f t="shared" si="19"/>
        <v>10050452.1841392</v>
      </c>
      <c r="F170" s="107"/>
      <c r="G170" s="107"/>
      <c r="H170" s="107"/>
      <c r="I170" s="107">
        <v>0</v>
      </c>
      <c r="J170" s="107">
        <v>0</v>
      </c>
      <c r="K170" s="107"/>
      <c r="L170" s="107"/>
      <c r="M170" s="107">
        <v>0</v>
      </c>
      <c r="N170" s="107">
        <v>9546866.3969999999</v>
      </c>
      <c r="O170" s="107">
        <v>0</v>
      </c>
      <c r="P170" s="107">
        <v>0</v>
      </c>
      <c r="Q170" s="107">
        <v>0</v>
      </c>
      <c r="R170" s="107"/>
      <c r="S170" s="108"/>
      <c r="T170" s="145">
        <v>503585.78713919997</v>
      </c>
      <c r="U170" s="23">
        <f t="shared" si="20"/>
        <v>1</v>
      </c>
    </row>
    <row r="171" spans="1:22" x14ac:dyDescent="0.25">
      <c r="A171" s="102">
        <f t="shared" si="21"/>
        <v>154</v>
      </c>
      <c r="B171" s="101">
        <f t="shared" si="22"/>
        <v>154</v>
      </c>
      <c r="C171" s="73" t="s">
        <v>57</v>
      </c>
      <c r="D171" s="73" t="s">
        <v>673</v>
      </c>
      <c r="E171" s="100">
        <f t="shared" si="19"/>
        <v>17029022.68593052</v>
      </c>
      <c r="F171" s="107"/>
      <c r="G171" s="107"/>
      <c r="H171" s="107">
        <v>0</v>
      </c>
      <c r="I171" s="107">
        <v>0</v>
      </c>
      <c r="J171" s="107">
        <v>0</v>
      </c>
      <c r="K171" s="107"/>
      <c r="L171" s="107"/>
      <c r="M171" s="107">
        <v>0</v>
      </c>
      <c r="N171" s="107">
        <v>16106664.949999999</v>
      </c>
      <c r="O171" s="107">
        <v>0</v>
      </c>
      <c r="P171" s="107">
        <v>0</v>
      </c>
      <c r="Q171" s="107">
        <v>0</v>
      </c>
      <c r="R171" s="107"/>
      <c r="S171" s="108"/>
      <c r="T171" s="145">
        <v>922357.73593051999</v>
      </c>
      <c r="U171" s="23">
        <f t="shared" si="20"/>
        <v>1</v>
      </c>
      <c r="V171" s="1" t="s">
        <v>144</v>
      </c>
    </row>
    <row r="172" spans="1:22" x14ac:dyDescent="0.25">
      <c r="A172" s="102">
        <f t="shared" si="21"/>
        <v>155</v>
      </c>
      <c r="B172" s="101">
        <f t="shared" si="22"/>
        <v>155</v>
      </c>
      <c r="C172" s="73" t="s">
        <v>72</v>
      </c>
      <c r="D172" s="73" t="s">
        <v>223</v>
      </c>
      <c r="E172" s="100">
        <f t="shared" si="19"/>
        <v>650224.41704400012</v>
      </c>
      <c r="F172" s="107">
        <v>0</v>
      </c>
      <c r="G172" s="107">
        <v>0</v>
      </c>
      <c r="H172" s="107">
        <v>0</v>
      </c>
      <c r="I172" s="107">
        <v>0</v>
      </c>
      <c r="J172" s="107">
        <v>579887.30000000005</v>
      </c>
      <c r="K172" s="107"/>
      <c r="L172" s="107"/>
      <c r="M172" s="107">
        <v>0</v>
      </c>
      <c r="N172" s="107">
        <v>0</v>
      </c>
      <c r="O172" s="107">
        <v>0</v>
      </c>
      <c r="P172" s="107">
        <v>0</v>
      </c>
      <c r="Q172" s="107">
        <v>0</v>
      </c>
      <c r="R172" s="107">
        <v>58462.29</v>
      </c>
      <c r="S172" s="107"/>
      <c r="T172" s="145">
        <v>11874.827044000001</v>
      </c>
      <c r="U172" s="23">
        <f t="shared" si="20"/>
        <v>1</v>
      </c>
    </row>
    <row r="173" spans="1:22" x14ac:dyDescent="0.25">
      <c r="A173" s="102">
        <f t="shared" si="21"/>
        <v>156</v>
      </c>
      <c r="B173" s="101">
        <f t="shared" si="22"/>
        <v>156</v>
      </c>
      <c r="C173" s="73" t="s">
        <v>66</v>
      </c>
      <c r="D173" s="73" t="s">
        <v>678</v>
      </c>
      <c r="E173" s="100">
        <f t="shared" si="19"/>
        <v>3842006.1097638123</v>
      </c>
      <c r="F173" s="107"/>
      <c r="G173" s="107"/>
      <c r="H173" s="107"/>
      <c r="I173" s="107"/>
      <c r="J173" s="107"/>
      <c r="K173" s="107"/>
      <c r="L173" s="107"/>
      <c r="M173" s="107"/>
      <c r="N173" s="107">
        <v>1229943.21</v>
      </c>
      <c r="O173" s="107"/>
      <c r="P173" s="107"/>
      <c r="Q173" s="107">
        <v>2522771.4</v>
      </c>
      <c r="R173" s="107"/>
      <c r="S173" s="108"/>
      <c r="T173" s="145">
        <v>89291.499763812477</v>
      </c>
      <c r="U173" s="23">
        <f t="shared" si="20"/>
        <v>2</v>
      </c>
    </row>
    <row r="174" spans="1:22" x14ac:dyDescent="0.25">
      <c r="A174" s="102">
        <f t="shared" si="21"/>
        <v>157</v>
      </c>
      <c r="B174" s="101">
        <f t="shared" si="22"/>
        <v>157</v>
      </c>
      <c r="C174" s="73" t="s">
        <v>66</v>
      </c>
      <c r="D174" s="73" t="s">
        <v>679</v>
      </c>
      <c r="E174" s="100">
        <f t="shared" si="19"/>
        <v>2326131.7975841798</v>
      </c>
      <c r="F174" s="107">
        <v>0</v>
      </c>
      <c r="G174" s="107">
        <v>0</v>
      </c>
      <c r="H174" s="107"/>
      <c r="I174" s="107"/>
      <c r="J174" s="107"/>
      <c r="K174" s="107"/>
      <c r="L174" s="107"/>
      <c r="M174" s="107"/>
      <c r="N174" s="107">
        <v>2093523.54</v>
      </c>
      <c r="O174" s="107"/>
      <c r="P174" s="107"/>
      <c r="Q174" s="107"/>
      <c r="R174" s="107"/>
      <c r="S174" s="108"/>
      <c r="T174" s="145">
        <v>232608.25758417978</v>
      </c>
      <c r="U174" s="23">
        <f t="shared" si="20"/>
        <v>1</v>
      </c>
    </row>
    <row r="175" spans="1:22" x14ac:dyDescent="0.25">
      <c r="A175" s="102">
        <f t="shared" si="21"/>
        <v>158</v>
      </c>
      <c r="B175" s="101">
        <f t="shared" si="22"/>
        <v>158</v>
      </c>
      <c r="C175" s="73" t="s">
        <v>66</v>
      </c>
      <c r="D175" s="73" t="s">
        <v>680</v>
      </c>
      <c r="E175" s="100">
        <f t="shared" si="19"/>
        <v>1546028.3117803601</v>
      </c>
      <c r="F175" s="107">
        <v>0</v>
      </c>
      <c r="G175" s="107">
        <v>0</v>
      </c>
      <c r="H175" s="107"/>
      <c r="I175" s="107"/>
      <c r="J175" s="107"/>
      <c r="K175" s="107"/>
      <c r="L175" s="107"/>
      <c r="M175" s="107"/>
      <c r="N175" s="107"/>
      <c r="O175" s="107"/>
      <c r="P175" s="107">
        <v>0</v>
      </c>
      <c r="Q175" s="107">
        <v>539462.39</v>
      </c>
      <c r="R175" s="107"/>
      <c r="S175" s="108"/>
      <c r="T175" s="145">
        <v>1006565.9217803602</v>
      </c>
      <c r="U175" s="23">
        <f t="shared" si="20"/>
        <v>1</v>
      </c>
      <c r="V175" s="1" t="s">
        <v>146</v>
      </c>
    </row>
    <row r="176" spans="1:22" x14ac:dyDescent="0.25">
      <c r="A176" s="102">
        <f t="shared" si="21"/>
        <v>159</v>
      </c>
      <c r="B176" s="101">
        <f t="shared" si="22"/>
        <v>159</v>
      </c>
      <c r="C176" s="73" t="s">
        <v>67</v>
      </c>
      <c r="D176" s="73" t="s">
        <v>693</v>
      </c>
      <c r="E176" s="100">
        <f t="shared" si="19"/>
        <v>15304875.67834428</v>
      </c>
      <c r="F176" s="107">
        <v>3480915.8199999994</v>
      </c>
      <c r="G176" s="107">
        <v>959623.11</v>
      </c>
      <c r="H176" s="107">
        <v>739091.37</v>
      </c>
      <c r="I176" s="107"/>
      <c r="J176" s="107">
        <v>0</v>
      </c>
      <c r="K176" s="107"/>
      <c r="L176" s="107"/>
      <c r="M176" s="107">
        <v>0</v>
      </c>
      <c r="N176" s="107">
        <v>5126751.9400000004</v>
      </c>
      <c r="O176" s="107">
        <v>0</v>
      </c>
      <c r="P176" s="107"/>
      <c r="Q176" s="107">
        <v>4617339.53</v>
      </c>
      <c r="R176" s="107"/>
      <c r="S176" s="108"/>
      <c r="T176" s="145">
        <v>381153.90834427997</v>
      </c>
      <c r="U176" s="23">
        <f t="shared" si="20"/>
        <v>5</v>
      </c>
    </row>
    <row r="177" spans="1:22" x14ac:dyDescent="0.25">
      <c r="A177" s="102">
        <f t="shared" si="21"/>
        <v>160</v>
      </c>
      <c r="B177" s="101">
        <f t="shared" si="22"/>
        <v>160</v>
      </c>
      <c r="C177" s="73" t="s">
        <v>68</v>
      </c>
      <c r="D177" s="73" t="s">
        <v>694</v>
      </c>
      <c r="E177" s="100">
        <f t="shared" si="19"/>
        <v>4147111.6458220002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/>
      <c r="L177" s="107"/>
      <c r="M177" s="107">
        <v>0</v>
      </c>
      <c r="N177" s="107">
        <v>0</v>
      </c>
      <c r="O177" s="107">
        <v>0</v>
      </c>
      <c r="P177" s="107">
        <v>0</v>
      </c>
      <c r="Q177" s="107">
        <v>3880712.95</v>
      </c>
      <c r="R177" s="107">
        <v>63874.52</v>
      </c>
      <c r="S177" s="108">
        <v>52548.83</v>
      </c>
      <c r="T177" s="145">
        <v>149975.34582200003</v>
      </c>
      <c r="U177" s="23">
        <f t="shared" si="20"/>
        <v>1</v>
      </c>
      <c r="V177" s="1" t="s">
        <v>149</v>
      </c>
    </row>
    <row r="178" spans="1:22" x14ac:dyDescent="0.25">
      <c r="A178" s="102">
        <f t="shared" si="21"/>
        <v>161</v>
      </c>
      <c r="B178" s="101">
        <f t="shared" si="22"/>
        <v>161</v>
      </c>
      <c r="C178" s="73" t="s">
        <v>68</v>
      </c>
      <c r="D178" s="73" t="s">
        <v>695</v>
      </c>
      <c r="E178" s="100">
        <f t="shared" ref="E178:E205" si="23">SUBTOTAL(9,F178:T178)</f>
        <v>7160735.1737979995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/>
      <c r="L178" s="107"/>
      <c r="M178" s="107">
        <v>0</v>
      </c>
      <c r="N178" s="107">
        <v>6406790.6799999997</v>
      </c>
      <c r="O178" s="107">
        <v>0</v>
      </c>
      <c r="P178" s="107">
        <v>0</v>
      </c>
      <c r="Q178" s="107"/>
      <c r="R178" s="107">
        <v>228114.94</v>
      </c>
      <c r="S178" s="108">
        <v>61903.35</v>
      </c>
      <c r="T178" s="145">
        <v>463926.20379799994</v>
      </c>
      <c r="U178" s="23">
        <f t="shared" ref="U178:U205" si="24">COUNTIF(F178:Q178,"&gt;0")</f>
        <v>1</v>
      </c>
      <c r="V178" s="1" t="s">
        <v>149</v>
      </c>
    </row>
    <row r="179" spans="1:22" x14ac:dyDescent="0.25">
      <c r="A179" s="102">
        <f t="shared" ref="A179:A205" si="25">+A178+1</f>
        <v>162</v>
      </c>
      <c r="B179" s="101">
        <f t="shared" ref="B179:B205" si="26">+B178+1</f>
        <v>162</v>
      </c>
      <c r="C179" s="73" t="s">
        <v>68</v>
      </c>
      <c r="D179" s="73" t="s">
        <v>696</v>
      </c>
      <c r="E179" s="100">
        <f t="shared" si="23"/>
        <v>5095856.215392</v>
      </c>
      <c r="F179" s="107">
        <v>0</v>
      </c>
      <c r="G179" s="107">
        <v>0</v>
      </c>
      <c r="H179" s="107">
        <v>0</v>
      </c>
      <c r="I179" s="107">
        <v>0</v>
      </c>
      <c r="J179" s="107">
        <v>0</v>
      </c>
      <c r="K179" s="107"/>
      <c r="L179" s="107"/>
      <c r="M179" s="107">
        <v>0</v>
      </c>
      <c r="N179" s="107">
        <v>4786076.9400000004</v>
      </c>
      <c r="O179" s="107">
        <v>0</v>
      </c>
      <c r="P179" s="107">
        <v>0</v>
      </c>
      <c r="Q179" s="107">
        <v>0</v>
      </c>
      <c r="R179" s="107">
        <v>92267.42</v>
      </c>
      <c r="S179" s="108">
        <v>15260</v>
      </c>
      <c r="T179" s="145">
        <v>202251.855392</v>
      </c>
      <c r="U179" s="23">
        <f t="shared" si="24"/>
        <v>1</v>
      </c>
      <c r="V179" s="1" t="s">
        <v>149</v>
      </c>
    </row>
    <row r="180" spans="1:22" x14ac:dyDescent="0.25">
      <c r="A180" s="102">
        <f t="shared" si="25"/>
        <v>163</v>
      </c>
      <c r="B180" s="101">
        <f t="shared" si="26"/>
        <v>163</v>
      </c>
      <c r="C180" s="73" t="s">
        <v>78</v>
      </c>
      <c r="D180" s="120" t="s">
        <v>739</v>
      </c>
      <c r="E180" s="100">
        <f t="shared" si="23"/>
        <v>5687244.3899999997</v>
      </c>
      <c r="F180" s="107">
        <v>5464157.29</v>
      </c>
      <c r="G180" s="107">
        <v>0</v>
      </c>
      <c r="H180" s="107"/>
      <c r="I180" s="107"/>
      <c r="J180" s="107">
        <v>0</v>
      </c>
      <c r="K180" s="107"/>
      <c r="L180" s="107"/>
      <c r="M180" s="107">
        <v>0</v>
      </c>
      <c r="N180" s="107">
        <v>0</v>
      </c>
      <c r="O180" s="107">
        <v>0</v>
      </c>
      <c r="P180" s="107">
        <v>0</v>
      </c>
      <c r="Q180" s="107">
        <v>0</v>
      </c>
      <c r="R180" s="107"/>
      <c r="S180" s="108"/>
      <c r="T180" s="145">
        <v>223087.1</v>
      </c>
      <c r="U180" s="23">
        <f t="shared" si="24"/>
        <v>1</v>
      </c>
    </row>
    <row r="181" spans="1:22" x14ac:dyDescent="0.25">
      <c r="A181" s="102">
        <f t="shared" si="25"/>
        <v>164</v>
      </c>
      <c r="B181" s="101">
        <f t="shared" si="26"/>
        <v>164</v>
      </c>
      <c r="C181" s="73" t="s">
        <v>78</v>
      </c>
      <c r="D181" s="120" t="s">
        <v>740</v>
      </c>
      <c r="E181" s="100">
        <f t="shared" si="23"/>
        <v>28411164.879999999</v>
      </c>
      <c r="F181" s="107">
        <v>8079212.4000000004</v>
      </c>
      <c r="G181" s="107"/>
      <c r="H181" s="107">
        <v>3039831.6</v>
      </c>
      <c r="I181" s="107">
        <v>2344507</v>
      </c>
      <c r="J181" s="107"/>
      <c r="K181" s="107"/>
      <c r="L181" s="107"/>
      <c r="M181" s="107"/>
      <c r="N181" s="107">
        <v>14009282.4</v>
      </c>
      <c r="O181" s="107"/>
      <c r="P181" s="107"/>
      <c r="Q181" s="107"/>
      <c r="R181" s="107">
        <v>700984.03</v>
      </c>
      <c r="S181" s="108">
        <v>24000</v>
      </c>
      <c r="T181" s="145">
        <v>213347.45</v>
      </c>
      <c r="U181" s="23">
        <f t="shared" si="24"/>
        <v>4</v>
      </c>
    </row>
    <row r="182" spans="1:22" x14ac:dyDescent="0.25">
      <c r="A182" s="102">
        <f t="shared" si="25"/>
        <v>165</v>
      </c>
      <c r="B182" s="101">
        <f t="shared" si="26"/>
        <v>165</v>
      </c>
      <c r="C182" s="73" t="s">
        <v>78</v>
      </c>
      <c r="D182" s="120" t="s">
        <v>741</v>
      </c>
      <c r="E182" s="100">
        <f t="shared" si="23"/>
        <v>19924186.370000001</v>
      </c>
      <c r="F182" s="107"/>
      <c r="G182" s="107"/>
      <c r="H182" s="107">
        <v>3153436.8</v>
      </c>
      <c r="I182" s="107">
        <v>2158646.4</v>
      </c>
      <c r="J182" s="107"/>
      <c r="K182" s="107"/>
      <c r="L182" s="107"/>
      <c r="M182" s="107"/>
      <c r="N182" s="107">
        <v>13939516.800000001</v>
      </c>
      <c r="O182" s="107"/>
      <c r="P182" s="107"/>
      <c r="Q182" s="107"/>
      <c r="R182" s="107">
        <v>495096.03</v>
      </c>
      <c r="S182" s="108">
        <v>24000</v>
      </c>
      <c r="T182" s="145">
        <v>153490.34</v>
      </c>
      <c r="U182" s="23">
        <f t="shared" si="24"/>
        <v>3</v>
      </c>
    </row>
    <row r="183" spans="1:22" x14ac:dyDescent="0.25">
      <c r="A183" s="102">
        <f t="shared" si="25"/>
        <v>166</v>
      </c>
      <c r="B183" s="101">
        <f t="shared" si="26"/>
        <v>166</v>
      </c>
      <c r="C183" s="73" t="s">
        <v>78</v>
      </c>
      <c r="D183" s="120" t="s">
        <v>742</v>
      </c>
      <c r="E183" s="100">
        <f t="shared" si="23"/>
        <v>9802331.1099999994</v>
      </c>
      <c r="F183" s="107">
        <v>0</v>
      </c>
      <c r="G183" s="107">
        <v>0</v>
      </c>
      <c r="H183" s="107">
        <v>0</v>
      </c>
      <c r="I183" s="107">
        <v>0</v>
      </c>
      <c r="J183" s="107">
        <v>0</v>
      </c>
      <c r="K183" s="107"/>
      <c r="L183" s="107"/>
      <c r="M183" s="107">
        <v>0</v>
      </c>
      <c r="N183" s="107">
        <v>9802331.1099999994</v>
      </c>
      <c r="O183" s="107">
        <v>0</v>
      </c>
      <c r="P183" s="107">
        <v>0</v>
      </c>
      <c r="Q183" s="107">
        <v>0</v>
      </c>
      <c r="R183" s="107"/>
      <c r="S183" s="108"/>
      <c r="T183" s="145"/>
      <c r="U183" s="23">
        <f t="shared" si="24"/>
        <v>1</v>
      </c>
    </row>
    <row r="184" spans="1:22" x14ac:dyDescent="0.25">
      <c r="A184" s="102">
        <f t="shared" si="25"/>
        <v>167</v>
      </c>
      <c r="B184" s="101">
        <f t="shared" si="26"/>
        <v>167</v>
      </c>
      <c r="C184" s="73" t="s">
        <v>78</v>
      </c>
      <c r="D184" s="120" t="s">
        <v>743</v>
      </c>
      <c r="E184" s="100">
        <f t="shared" si="23"/>
        <v>16952691.299999997</v>
      </c>
      <c r="F184" s="107">
        <v>7939864.5</v>
      </c>
      <c r="G184" s="107"/>
      <c r="H184" s="107">
        <v>4681160.4000000004</v>
      </c>
      <c r="I184" s="107">
        <v>3537004.8</v>
      </c>
      <c r="J184" s="107"/>
      <c r="K184" s="107"/>
      <c r="L184" s="107"/>
      <c r="M184" s="107"/>
      <c r="N184" s="107"/>
      <c r="O184" s="107"/>
      <c r="P184" s="107"/>
      <c r="Q184" s="107"/>
      <c r="R184" s="107">
        <v>634398.13</v>
      </c>
      <c r="S184" s="108">
        <v>24000</v>
      </c>
      <c r="T184" s="145">
        <v>136263.47</v>
      </c>
      <c r="U184" s="23">
        <f t="shared" si="24"/>
        <v>3</v>
      </c>
    </row>
    <row r="185" spans="1:22" x14ac:dyDescent="0.25">
      <c r="A185" s="102">
        <f t="shared" si="25"/>
        <v>168</v>
      </c>
      <c r="B185" s="101">
        <f t="shared" si="26"/>
        <v>168</v>
      </c>
      <c r="C185" s="73" t="s">
        <v>78</v>
      </c>
      <c r="D185" s="120" t="s">
        <v>744</v>
      </c>
      <c r="E185" s="100">
        <f t="shared" si="23"/>
        <v>11455370.009999998</v>
      </c>
      <c r="F185" s="107">
        <v>5903245.2000000002</v>
      </c>
      <c r="G185" s="107"/>
      <c r="H185" s="107">
        <v>3002210.4</v>
      </c>
      <c r="I185" s="107">
        <v>1923324</v>
      </c>
      <c r="J185" s="107"/>
      <c r="K185" s="107"/>
      <c r="L185" s="107"/>
      <c r="M185" s="107"/>
      <c r="N185" s="107"/>
      <c r="O185" s="107"/>
      <c r="P185" s="107"/>
      <c r="Q185" s="107"/>
      <c r="R185" s="107">
        <v>516618.54</v>
      </c>
      <c r="S185" s="108">
        <v>24000</v>
      </c>
      <c r="T185" s="145">
        <v>85971.87</v>
      </c>
      <c r="U185" s="23">
        <f t="shared" si="24"/>
        <v>3</v>
      </c>
    </row>
    <row r="186" spans="1:22" x14ac:dyDescent="0.25">
      <c r="A186" s="102">
        <f t="shared" si="25"/>
        <v>169</v>
      </c>
      <c r="B186" s="101">
        <f t="shared" si="26"/>
        <v>169</v>
      </c>
      <c r="C186" s="73" t="s">
        <v>78</v>
      </c>
      <c r="D186" s="120" t="s">
        <v>745</v>
      </c>
      <c r="E186" s="100">
        <f t="shared" si="23"/>
        <v>21555121.629999999</v>
      </c>
      <c r="F186" s="107">
        <v>11356723.199999999</v>
      </c>
      <c r="G186" s="107"/>
      <c r="H186" s="107">
        <v>5611190.4000000004</v>
      </c>
      <c r="I186" s="107">
        <v>3761995.2</v>
      </c>
      <c r="J186" s="107"/>
      <c r="K186" s="107"/>
      <c r="L186" s="107"/>
      <c r="M186" s="107"/>
      <c r="N186" s="107"/>
      <c r="O186" s="107"/>
      <c r="P186" s="107"/>
      <c r="Q186" s="107"/>
      <c r="R186" s="107">
        <v>634436.54</v>
      </c>
      <c r="S186" s="108">
        <v>24000</v>
      </c>
      <c r="T186" s="145">
        <v>166776.29</v>
      </c>
      <c r="U186" s="23">
        <f t="shared" si="24"/>
        <v>3</v>
      </c>
    </row>
    <row r="187" spans="1:22" x14ac:dyDescent="0.25">
      <c r="A187" s="102">
        <f t="shared" si="25"/>
        <v>170</v>
      </c>
      <c r="B187" s="101">
        <f t="shared" si="26"/>
        <v>170</v>
      </c>
      <c r="C187" s="73" t="s">
        <v>78</v>
      </c>
      <c r="D187" s="120" t="s">
        <v>746</v>
      </c>
      <c r="E187" s="100">
        <f t="shared" si="23"/>
        <v>21555080.010000002</v>
      </c>
      <c r="F187" s="107">
        <v>11356723.199999999</v>
      </c>
      <c r="G187" s="107"/>
      <c r="H187" s="107">
        <v>5611190.4000000004</v>
      </c>
      <c r="I187" s="107">
        <v>3761995.2</v>
      </c>
      <c r="J187" s="107"/>
      <c r="K187" s="107"/>
      <c r="L187" s="107"/>
      <c r="M187" s="107"/>
      <c r="N187" s="107"/>
      <c r="O187" s="107"/>
      <c r="P187" s="107"/>
      <c r="Q187" s="107"/>
      <c r="R187" s="107">
        <v>634394.92000000004</v>
      </c>
      <c r="S187" s="108">
        <v>24000</v>
      </c>
      <c r="T187" s="145">
        <v>166776.29</v>
      </c>
      <c r="U187" s="23">
        <f t="shared" si="24"/>
        <v>3</v>
      </c>
    </row>
    <row r="188" spans="1:22" x14ac:dyDescent="0.25">
      <c r="A188" s="102">
        <f t="shared" si="25"/>
        <v>171</v>
      </c>
      <c r="B188" s="101">
        <f t="shared" si="26"/>
        <v>171</v>
      </c>
      <c r="C188" s="73" t="s">
        <v>78</v>
      </c>
      <c r="D188" s="120" t="s">
        <v>747</v>
      </c>
      <c r="E188" s="100">
        <f t="shared" si="23"/>
        <v>3798455.12</v>
      </c>
      <c r="F188" s="107">
        <v>3733979.02</v>
      </c>
      <c r="G188" s="107">
        <v>0</v>
      </c>
      <c r="H188" s="107">
        <v>0</v>
      </c>
      <c r="I188" s="107">
        <v>0</v>
      </c>
      <c r="J188" s="107">
        <v>0</v>
      </c>
      <c r="K188" s="107"/>
      <c r="L188" s="107"/>
      <c r="M188" s="107">
        <v>0</v>
      </c>
      <c r="N188" s="107">
        <v>0</v>
      </c>
      <c r="O188" s="107">
        <v>0</v>
      </c>
      <c r="P188" s="107">
        <v>0</v>
      </c>
      <c r="Q188" s="107">
        <v>0</v>
      </c>
      <c r="R188" s="107"/>
      <c r="S188" s="108"/>
      <c r="T188" s="145">
        <v>64476.1</v>
      </c>
      <c r="U188" s="23">
        <f t="shared" si="24"/>
        <v>1</v>
      </c>
    </row>
    <row r="189" spans="1:22" x14ac:dyDescent="0.25">
      <c r="A189" s="102">
        <f t="shared" si="25"/>
        <v>172</v>
      </c>
      <c r="B189" s="101">
        <f t="shared" si="26"/>
        <v>172</v>
      </c>
      <c r="C189" s="73" t="s">
        <v>78</v>
      </c>
      <c r="D189" s="120" t="s">
        <v>748</v>
      </c>
      <c r="E189" s="100">
        <f t="shared" si="23"/>
        <v>5080860.6100000003</v>
      </c>
      <c r="F189" s="107">
        <v>0</v>
      </c>
      <c r="G189" s="107">
        <v>0</v>
      </c>
      <c r="H189" s="107">
        <v>0</v>
      </c>
      <c r="I189" s="107">
        <v>0</v>
      </c>
      <c r="J189" s="107">
        <v>0</v>
      </c>
      <c r="K189" s="107"/>
      <c r="L189" s="107"/>
      <c r="M189" s="107">
        <v>0</v>
      </c>
      <c r="N189" s="107">
        <v>5044368.49</v>
      </c>
      <c r="O189" s="107">
        <v>0</v>
      </c>
      <c r="P189" s="107">
        <v>0</v>
      </c>
      <c r="Q189" s="107">
        <v>0</v>
      </c>
      <c r="R189" s="107"/>
      <c r="S189" s="108"/>
      <c r="T189" s="145">
        <v>36492.120000000003</v>
      </c>
      <c r="U189" s="23">
        <f t="shared" si="24"/>
        <v>1</v>
      </c>
    </row>
    <row r="190" spans="1:22" x14ac:dyDescent="0.25">
      <c r="A190" s="102">
        <f t="shared" si="25"/>
        <v>173</v>
      </c>
      <c r="B190" s="101">
        <f t="shared" si="26"/>
        <v>173</v>
      </c>
      <c r="C190" s="73" t="s">
        <v>61</v>
      </c>
      <c r="D190" s="120" t="s">
        <v>732</v>
      </c>
      <c r="E190" s="100">
        <f t="shared" si="23"/>
        <v>8755162.1893241201</v>
      </c>
      <c r="F190" s="107">
        <v>0</v>
      </c>
      <c r="G190" s="107">
        <v>0</v>
      </c>
      <c r="H190" s="107">
        <v>1011024.23</v>
      </c>
      <c r="I190" s="107">
        <v>0</v>
      </c>
      <c r="J190" s="107"/>
      <c r="K190" s="107"/>
      <c r="L190" s="107"/>
      <c r="M190" s="107">
        <v>0</v>
      </c>
      <c r="N190" s="107">
        <v>0</v>
      </c>
      <c r="O190" s="107">
        <v>0</v>
      </c>
      <c r="P190" s="107">
        <v>4376437.43</v>
      </c>
      <c r="Q190" s="107">
        <v>3141303.98</v>
      </c>
      <c r="R190" s="107"/>
      <c r="S190" s="108"/>
      <c r="T190" s="145">
        <v>226396.54932411999</v>
      </c>
      <c r="U190" s="23">
        <f t="shared" si="24"/>
        <v>3</v>
      </c>
    </row>
    <row r="191" spans="1:22" x14ac:dyDescent="0.25">
      <c r="A191" s="102">
        <f t="shared" si="25"/>
        <v>174</v>
      </c>
      <c r="B191" s="101">
        <f t="shared" si="26"/>
        <v>174</v>
      </c>
      <c r="C191" s="73" t="s">
        <v>61</v>
      </c>
      <c r="D191" s="73" t="s">
        <v>733</v>
      </c>
      <c r="E191" s="100">
        <f t="shared" si="23"/>
        <v>1521216.82339412</v>
      </c>
      <c r="F191" s="107">
        <v>0</v>
      </c>
      <c r="G191" s="107">
        <v>0</v>
      </c>
      <c r="H191" s="107">
        <v>256799.44</v>
      </c>
      <c r="I191" s="107">
        <v>0</v>
      </c>
      <c r="J191" s="107">
        <v>0</v>
      </c>
      <c r="K191" s="107"/>
      <c r="L191" s="107"/>
      <c r="M191" s="107">
        <v>0</v>
      </c>
      <c r="N191" s="107">
        <v>0</v>
      </c>
      <c r="O191" s="107">
        <v>0</v>
      </c>
      <c r="P191" s="107">
        <v>0</v>
      </c>
      <c r="Q191" s="107">
        <v>1206681.83</v>
      </c>
      <c r="R191" s="107"/>
      <c r="S191" s="108"/>
      <c r="T191" s="145">
        <v>57735.553394120012</v>
      </c>
      <c r="U191" s="23">
        <f t="shared" si="24"/>
        <v>2</v>
      </c>
    </row>
    <row r="192" spans="1:22" x14ac:dyDescent="0.25">
      <c r="A192" s="102">
        <f t="shared" si="25"/>
        <v>175</v>
      </c>
      <c r="B192" s="101">
        <f t="shared" si="26"/>
        <v>175</v>
      </c>
      <c r="C192" s="73" t="s">
        <v>62</v>
      </c>
      <c r="D192" s="73" t="s">
        <v>734</v>
      </c>
      <c r="E192" s="100">
        <f t="shared" si="23"/>
        <v>764368.75019825995</v>
      </c>
      <c r="F192" s="107">
        <v>0</v>
      </c>
      <c r="G192" s="107">
        <v>0</v>
      </c>
      <c r="H192" s="107">
        <v>664753.06999999995</v>
      </c>
      <c r="I192" s="107"/>
      <c r="J192" s="107">
        <v>0</v>
      </c>
      <c r="K192" s="107"/>
      <c r="L192" s="107"/>
      <c r="M192" s="107">
        <v>0</v>
      </c>
      <c r="N192" s="107">
        <v>0</v>
      </c>
      <c r="O192" s="107">
        <v>0</v>
      </c>
      <c r="P192" s="107">
        <v>0</v>
      </c>
      <c r="Q192" s="107">
        <v>0</v>
      </c>
      <c r="R192" s="107">
        <v>77193.931000000011</v>
      </c>
      <c r="S192" s="108">
        <v>7719.3931000000011</v>
      </c>
      <c r="T192" s="145">
        <v>14702.356098260001</v>
      </c>
      <c r="U192" s="23">
        <f t="shared" si="24"/>
        <v>1</v>
      </c>
      <c r="V192" s="1" t="s">
        <v>149</v>
      </c>
    </row>
    <row r="193" spans="1:22" x14ac:dyDescent="0.25">
      <c r="A193" s="102">
        <f t="shared" si="25"/>
        <v>176</v>
      </c>
      <c r="B193" s="101">
        <f t="shared" si="26"/>
        <v>176</v>
      </c>
      <c r="C193" s="73" t="s">
        <v>62</v>
      </c>
      <c r="D193" s="73" t="s">
        <v>229</v>
      </c>
      <c r="E193" s="100">
        <f t="shared" si="23"/>
        <v>365088.24984040001</v>
      </c>
      <c r="F193" s="107">
        <v>0</v>
      </c>
      <c r="G193" s="107">
        <v>0</v>
      </c>
      <c r="H193" s="107">
        <v>0</v>
      </c>
      <c r="I193" s="107">
        <v>346555.42</v>
      </c>
      <c r="J193" s="107"/>
      <c r="K193" s="107"/>
      <c r="L193" s="107"/>
      <c r="M193" s="107">
        <v>0</v>
      </c>
      <c r="N193" s="107">
        <v>0</v>
      </c>
      <c r="O193" s="107">
        <v>0</v>
      </c>
      <c r="P193" s="107">
        <v>0</v>
      </c>
      <c r="Q193" s="107">
        <v>0</v>
      </c>
      <c r="R193" s="107"/>
      <c r="S193" s="108"/>
      <c r="T193" s="145">
        <v>18532.829840399998</v>
      </c>
      <c r="U193" s="23">
        <f t="shared" si="24"/>
        <v>1</v>
      </c>
    </row>
    <row r="194" spans="1:22" x14ac:dyDescent="0.25">
      <c r="A194" s="102">
        <f t="shared" si="25"/>
        <v>177</v>
      </c>
      <c r="B194" s="101">
        <f t="shared" si="26"/>
        <v>177</v>
      </c>
      <c r="C194" s="73" t="s">
        <v>62</v>
      </c>
      <c r="D194" s="73" t="s">
        <v>207</v>
      </c>
      <c r="E194" s="100">
        <f t="shared" si="23"/>
        <v>8606121.4599104002</v>
      </c>
      <c r="F194" s="107">
        <v>0</v>
      </c>
      <c r="G194" s="107">
        <v>0</v>
      </c>
      <c r="H194" s="107">
        <v>0</v>
      </c>
      <c r="I194" s="107"/>
      <c r="J194" s="107">
        <v>0</v>
      </c>
      <c r="K194" s="107"/>
      <c r="L194" s="107"/>
      <c r="M194" s="107">
        <v>0</v>
      </c>
      <c r="N194" s="107">
        <v>8345806.3999999994</v>
      </c>
      <c r="O194" s="107">
        <v>0</v>
      </c>
      <c r="P194" s="107">
        <v>0</v>
      </c>
      <c r="Q194" s="107">
        <v>0</v>
      </c>
      <c r="R194" s="107"/>
      <c r="S194" s="108"/>
      <c r="T194" s="145">
        <v>260315.05991040001</v>
      </c>
      <c r="U194" s="23">
        <f t="shared" si="24"/>
        <v>1</v>
      </c>
    </row>
    <row r="195" spans="1:22" x14ac:dyDescent="0.25">
      <c r="A195" s="102">
        <f t="shared" si="25"/>
        <v>178</v>
      </c>
      <c r="B195" s="101">
        <f t="shared" si="26"/>
        <v>178</v>
      </c>
      <c r="C195" s="73" t="s">
        <v>62</v>
      </c>
      <c r="D195" s="73" t="s">
        <v>735</v>
      </c>
      <c r="E195" s="100">
        <f t="shared" si="23"/>
        <v>481793.98029292002</v>
      </c>
      <c r="F195" s="107"/>
      <c r="G195" s="107">
        <v>0</v>
      </c>
      <c r="H195" s="107"/>
      <c r="I195" s="107">
        <v>363946.04</v>
      </c>
      <c r="J195" s="107">
        <v>0</v>
      </c>
      <c r="K195" s="107"/>
      <c r="L195" s="107"/>
      <c r="M195" s="107">
        <v>0</v>
      </c>
      <c r="N195" s="107">
        <v>0</v>
      </c>
      <c r="O195" s="107">
        <v>0</v>
      </c>
      <c r="P195" s="107">
        <v>0</v>
      </c>
      <c r="Q195" s="107">
        <v>0</v>
      </c>
      <c r="R195" s="107"/>
      <c r="S195" s="108"/>
      <c r="T195" s="145">
        <v>117847.94029292003</v>
      </c>
      <c r="U195" s="23">
        <f t="shared" si="24"/>
        <v>1</v>
      </c>
    </row>
    <row r="196" spans="1:22" x14ac:dyDescent="0.25">
      <c r="A196" s="102">
        <f t="shared" si="25"/>
        <v>179</v>
      </c>
      <c r="B196" s="101">
        <f t="shared" si="26"/>
        <v>179</v>
      </c>
      <c r="C196" s="73" t="s">
        <v>62</v>
      </c>
      <c r="D196" s="73" t="s">
        <v>230</v>
      </c>
      <c r="E196" s="100">
        <f t="shared" si="23"/>
        <v>1379849.7611506002</v>
      </c>
      <c r="F196" s="107">
        <v>0</v>
      </c>
      <c r="G196" s="107">
        <v>0</v>
      </c>
      <c r="H196" s="107">
        <v>0</v>
      </c>
      <c r="I196" s="107">
        <v>1321350.8500000001</v>
      </c>
      <c r="J196" s="107"/>
      <c r="K196" s="107"/>
      <c r="L196" s="107"/>
      <c r="M196" s="107">
        <v>0</v>
      </c>
      <c r="N196" s="107">
        <v>0</v>
      </c>
      <c r="O196" s="107">
        <v>0</v>
      </c>
      <c r="P196" s="107">
        <v>0</v>
      </c>
      <c r="Q196" s="107">
        <v>0</v>
      </c>
      <c r="R196" s="107"/>
      <c r="S196" s="108"/>
      <c r="T196" s="145">
        <v>58498.911150600004</v>
      </c>
      <c r="U196" s="23">
        <f t="shared" si="24"/>
        <v>1</v>
      </c>
    </row>
    <row r="197" spans="1:22" x14ac:dyDescent="0.25">
      <c r="A197" s="102">
        <f t="shared" si="25"/>
        <v>180</v>
      </c>
      <c r="B197" s="101">
        <f t="shared" si="26"/>
        <v>180</v>
      </c>
      <c r="C197" s="73" t="s">
        <v>62</v>
      </c>
      <c r="D197" s="73" t="s">
        <v>208</v>
      </c>
      <c r="E197" s="100">
        <f t="shared" si="23"/>
        <v>3552408.6974952403</v>
      </c>
      <c r="F197" s="107"/>
      <c r="G197" s="107">
        <v>0</v>
      </c>
      <c r="H197" s="107">
        <v>0</v>
      </c>
      <c r="I197" s="107">
        <v>0</v>
      </c>
      <c r="J197" s="107"/>
      <c r="K197" s="107"/>
      <c r="L197" s="107"/>
      <c r="M197" s="107">
        <v>0</v>
      </c>
      <c r="N197" s="107">
        <v>0</v>
      </c>
      <c r="O197" s="107">
        <v>0</v>
      </c>
      <c r="P197" s="107"/>
      <c r="Q197" s="107">
        <v>3253286.45</v>
      </c>
      <c r="R197" s="107"/>
      <c r="S197" s="108"/>
      <c r="T197" s="145">
        <v>299122.24749524001</v>
      </c>
      <c r="U197" s="23">
        <f t="shared" si="24"/>
        <v>1</v>
      </c>
      <c r="V197" s="1" t="s">
        <v>146</v>
      </c>
    </row>
    <row r="198" spans="1:22" x14ac:dyDescent="0.25">
      <c r="A198" s="102">
        <f t="shared" si="25"/>
        <v>181</v>
      </c>
      <c r="B198" s="101">
        <f t="shared" si="26"/>
        <v>181</v>
      </c>
      <c r="C198" s="73" t="s">
        <v>62</v>
      </c>
      <c r="D198" s="73" t="s">
        <v>720</v>
      </c>
      <c r="E198" s="100">
        <f t="shared" si="23"/>
        <v>1178970.48751072</v>
      </c>
      <c r="F198" s="107"/>
      <c r="G198" s="107"/>
      <c r="H198" s="107">
        <v>667653.5</v>
      </c>
      <c r="I198" s="107">
        <v>491754.09</v>
      </c>
      <c r="J198" s="107"/>
      <c r="K198" s="107"/>
      <c r="L198" s="107"/>
      <c r="M198" s="107">
        <v>0</v>
      </c>
      <c r="N198" s="107">
        <v>0</v>
      </c>
      <c r="O198" s="107">
        <v>0</v>
      </c>
      <c r="P198" s="107">
        <v>0</v>
      </c>
      <c r="Q198" s="107">
        <v>0</v>
      </c>
      <c r="R198" s="107"/>
      <c r="S198" s="108"/>
      <c r="T198" s="145">
        <v>19562.897510720002</v>
      </c>
      <c r="U198" s="23">
        <f t="shared" si="24"/>
        <v>2</v>
      </c>
      <c r="V198" s="1" t="s">
        <v>149</v>
      </c>
    </row>
    <row r="199" spans="1:22" x14ac:dyDescent="0.25">
      <c r="A199" s="102">
        <f t="shared" si="25"/>
        <v>182</v>
      </c>
      <c r="B199" s="101">
        <f t="shared" si="26"/>
        <v>182</v>
      </c>
      <c r="C199" s="73" t="s">
        <v>62</v>
      </c>
      <c r="D199" s="73" t="s">
        <v>736</v>
      </c>
      <c r="E199" s="100">
        <f t="shared" si="23"/>
        <v>2049515.5313292001</v>
      </c>
      <c r="F199" s="107">
        <v>0</v>
      </c>
      <c r="G199" s="107">
        <v>0</v>
      </c>
      <c r="H199" s="107"/>
      <c r="I199" s="107">
        <v>1990765.32</v>
      </c>
      <c r="J199" s="107"/>
      <c r="K199" s="107"/>
      <c r="L199" s="107"/>
      <c r="M199" s="107">
        <v>0</v>
      </c>
      <c r="N199" s="107">
        <v>0</v>
      </c>
      <c r="O199" s="107">
        <v>0</v>
      </c>
      <c r="P199" s="107">
        <v>0</v>
      </c>
      <c r="Q199" s="107">
        <v>0</v>
      </c>
      <c r="R199" s="107"/>
      <c r="S199" s="108"/>
      <c r="T199" s="145">
        <v>58750.211329199999</v>
      </c>
      <c r="U199" s="23">
        <f t="shared" si="24"/>
        <v>1</v>
      </c>
    </row>
    <row r="200" spans="1:22" x14ac:dyDescent="0.25">
      <c r="A200" s="102">
        <f t="shared" si="25"/>
        <v>183</v>
      </c>
      <c r="B200" s="101">
        <f t="shared" si="26"/>
        <v>183</v>
      </c>
      <c r="C200" s="73" t="s">
        <v>62</v>
      </c>
      <c r="D200" s="73" t="s">
        <v>210</v>
      </c>
      <c r="E200" s="100">
        <f t="shared" si="23"/>
        <v>6265968.0113439998</v>
      </c>
      <c r="F200" s="107">
        <v>0</v>
      </c>
      <c r="G200" s="107">
        <v>0</v>
      </c>
      <c r="H200" s="107">
        <v>0</v>
      </c>
      <c r="I200" s="107">
        <v>0</v>
      </c>
      <c r="J200" s="107"/>
      <c r="K200" s="107"/>
      <c r="L200" s="107"/>
      <c r="M200" s="107">
        <v>0</v>
      </c>
      <c r="N200" s="107">
        <v>0</v>
      </c>
      <c r="O200" s="107">
        <v>0</v>
      </c>
      <c r="P200" s="107">
        <v>6113601.8799999999</v>
      </c>
      <c r="Q200" s="107"/>
      <c r="R200" s="107"/>
      <c r="S200" s="108"/>
      <c r="T200" s="145">
        <v>152366.13134399999</v>
      </c>
      <c r="U200" s="23">
        <f t="shared" si="24"/>
        <v>1</v>
      </c>
    </row>
    <row r="201" spans="1:22" x14ac:dyDescent="0.25">
      <c r="A201" s="102">
        <f t="shared" si="25"/>
        <v>184</v>
      </c>
      <c r="B201" s="101">
        <f t="shared" si="26"/>
        <v>184</v>
      </c>
      <c r="C201" s="73" t="s">
        <v>62</v>
      </c>
      <c r="D201" s="73" t="s">
        <v>211</v>
      </c>
      <c r="E201" s="100">
        <f t="shared" si="23"/>
        <v>18257138.112024002</v>
      </c>
      <c r="F201" s="107">
        <v>4878537.09</v>
      </c>
      <c r="G201" s="107">
        <v>0</v>
      </c>
      <c r="H201" s="107">
        <v>0</v>
      </c>
      <c r="I201" s="107">
        <v>0</v>
      </c>
      <c r="J201" s="107"/>
      <c r="K201" s="107"/>
      <c r="L201" s="107"/>
      <c r="M201" s="107">
        <v>0</v>
      </c>
      <c r="N201" s="107">
        <v>0</v>
      </c>
      <c r="O201" s="107">
        <v>0</v>
      </c>
      <c r="P201" s="107">
        <v>5994057.4199999999</v>
      </c>
      <c r="Q201" s="107">
        <v>7172099.8799999999</v>
      </c>
      <c r="R201" s="107"/>
      <c r="S201" s="108"/>
      <c r="T201" s="145">
        <v>212443.72202400002</v>
      </c>
      <c r="U201" s="23">
        <f t="shared" si="24"/>
        <v>3</v>
      </c>
    </row>
    <row r="202" spans="1:22" x14ac:dyDescent="0.25">
      <c r="A202" s="102">
        <f t="shared" si="25"/>
        <v>185</v>
      </c>
      <c r="B202" s="101">
        <f t="shared" si="26"/>
        <v>185</v>
      </c>
      <c r="C202" s="73" t="s">
        <v>62</v>
      </c>
      <c r="D202" s="120" t="s">
        <v>737</v>
      </c>
      <c r="E202" s="123">
        <f t="shared" si="23"/>
        <v>1244942.4749406199</v>
      </c>
      <c r="F202" s="107">
        <v>0</v>
      </c>
      <c r="G202" s="107">
        <v>0</v>
      </c>
      <c r="H202" s="107">
        <v>1207654.75</v>
      </c>
      <c r="I202" s="107">
        <v>0</v>
      </c>
      <c r="J202" s="107">
        <v>0</v>
      </c>
      <c r="K202" s="107"/>
      <c r="L202" s="107"/>
      <c r="M202" s="107">
        <v>0</v>
      </c>
      <c r="N202" s="107">
        <v>0</v>
      </c>
      <c r="O202" s="107">
        <v>0</v>
      </c>
      <c r="P202" s="107">
        <v>0</v>
      </c>
      <c r="Q202" s="107">
        <v>0</v>
      </c>
      <c r="R202" s="107"/>
      <c r="S202" s="108"/>
      <c r="T202" s="145">
        <v>37287.724940620006</v>
      </c>
      <c r="U202" s="23">
        <f t="shared" si="24"/>
        <v>1</v>
      </c>
    </row>
    <row r="203" spans="1:22" x14ac:dyDescent="0.25">
      <c r="A203" s="102">
        <f t="shared" si="25"/>
        <v>186</v>
      </c>
      <c r="B203" s="101">
        <f t="shared" si="26"/>
        <v>186</v>
      </c>
      <c r="C203" s="73" t="s">
        <v>51</v>
      </c>
      <c r="D203" s="73" t="s">
        <v>558</v>
      </c>
      <c r="E203" s="100">
        <f t="shared" si="23"/>
        <v>4254086.16</v>
      </c>
      <c r="F203" s="107"/>
      <c r="G203" s="107"/>
      <c r="H203" s="107"/>
      <c r="I203" s="107"/>
      <c r="J203" s="107"/>
      <c r="K203" s="107"/>
      <c r="L203" s="107"/>
      <c r="M203" s="107"/>
      <c r="N203" s="107">
        <v>4254086.16</v>
      </c>
      <c r="O203" s="107"/>
      <c r="P203" s="107"/>
      <c r="Q203" s="107"/>
      <c r="R203" s="107"/>
      <c r="S203" s="107"/>
      <c r="T203" s="107"/>
      <c r="U203" s="23">
        <f t="shared" si="24"/>
        <v>1</v>
      </c>
    </row>
    <row r="204" spans="1:22" x14ac:dyDescent="0.25">
      <c r="A204" s="102">
        <f t="shared" si="25"/>
        <v>187</v>
      </c>
      <c r="B204" s="101">
        <f t="shared" si="26"/>
        <v>187</v>
      </c>
      <c r="C204" s="129" t="s">
        <v>771</v>
      </c>
      <c r="D204" s="73" t="s">
        <v>759</v>
      </c>
      <c r="E204" s="100">
        <f t="shared" si="23"/>
        <v>566057.97</v>
      </c>
      <c r="F204" s="107"/>
      <c r="G204" s="107"/>
      <c r="H204" s="107"/>
      <c r="I204" s="107"/>
      <c r="J204" s="107"/>
      <c r="K204" s="107"/>
      <c r="L204" s="107"/>
      <c r="M204" s="107"/>
      <c r="N204" s="107">
        <v>194953.44</v>
      </c>
      <c r="O204" s="107"/>
      <c r="P204" s="107">
        <v>371104.53</v>
      </c>
      <c r="Q204" s="107"/>
      <c r="R204" s="107"/>
      <c r="S204" s="107"/>
      <c r="T204" s="107"/>
      <c r="U204" s="23">
        <f t="shared" si="24"/>
        <v>2</v>
      </c>
    </row>
    <row r="205" spans="1:22" x14ac:dyDescent="0.25">
      <c r="A205" s="158">
        <f t="shared" si="25"/>
        <v>188</v>
      </c>
      <c r="B205" s="159">
        <f t="shared" si="26"/>
        <v>188</v>
      </c>
      <c r="C205" s="129" t="s">
        <v>771</v>
      </c>
      <c r="D205" s="98" t="s">
        <v>760</v>
      </c>
      <c r="E205" s="160">
        <f t="shared" si="23"/>
        <v>10770762.300000001</v>
      </c>
      <c r="F205" s="157"/>
      <c r="G205" s="157"/>
      <c r="H205" s="157"/>
      <c r="I205" s="157"/>
      <c r="J205" s="157"/>
      <c r="K205" s="157"/>
      <c r="L205" s="157"/>
      <c r="M205" s="157"/>
      <c r="N205" s="157">
        <v>5195058.41</v>
      </c>
      <c r="O205" s="157"/>
      <c r="P205" s="157">
        <v>5575703.8899999997</v>
      </c>
      <c r="Q205" s="157"/>
      <c r="R205" s="157"/>
      <c r="S205" s="157"/>
      <c r="T205" s="157"/>
      <c r="U205" s="23">
        <f t="shared" si="24"/>
        <v>2</v>
      </c>
    </row>
    <row r="206" spans="1:22" s="54" customFormat="1" x14ac:dyDescent="0.25">
      <c r="A206" s="161"/>
      <c r="B206" s="161"/>
      <c r="C206" s="162"/>
      <c r="D206" s="163">
        <v>2023</v>
      </c>
      <c r="E206" s="164">
        <f>SUM(F206:T206)</f>
        <v>2819766121.685678</v>
      </c>
      <c r="F206" s="59">
        <f t="shared" ref="F206:T206" si="27">SUM(F207:F480)</f>
        <v>642423386.77463269</v>
      </c>
      <c r="G206" s="59">
        <f t="shared" si="27"/>
        <v>174330123.5381718</v>
      </c>
      <c r="H206" s="59">
        <f t="shared" si="27"/>
        <v>291549475.19095832</v>
      </c>
      <c r="I206" s="59">
        <f t="shared" si="27"/>
        <v>137598976.61780664</v>
      </c>
      <c r="J206" s="59">
        <f t="shared" si="27"/>
        <v>51539050.487963185</v>
      </c>
      <c r="K206" s="59">
        <f t="shared" si="27"/>
        <v>0</v>
      </c>
      <c r="L206" s="59">
        <f t="shared" si="27"/>
        <v>18167731.988326222</v>
      </c>
      <c r="M206" s="59">
        <f t="shared" si="27"/>
        <v>6868490.3575085625</v>
      </c>
      <c r="N206" s="59">
        <f t="shared" si="27"/>
        <v>527228185.87236929</v>
      </c>
      <c r="O206" s="59">
        <f t="shared" si="27"/>
        <v>57864301.39314431</v>
      </c>
      <c r="P206" s="59">
        <f t="shared" si="27"/>
        <v>483115521.35086751</v>
      </c>
      <c r="Q206" s="59">
        <f t="shared" si="27"/>
        <v>291018315.23443574</v>
      </c>
      <c r="R206" s="59">
        <f t="shared" si="27"/>
        <v>49816599.578624286</v>
      </c>
      <c r="S206" s="59">
        <f t="shared" si="27"/>
        <v>4004079.2418685835</v>
      </c>
      <c r="T206" s="59">
        <f t="shared" si="27"/>
        <v>84241884.059001029</v>
      </c>
      <c r="U206" s="56">
        <f>SUM(U208:U478)</f>
        <v>572</v>
      </c>
    </row>
    <row r="207" spans="1:22" x14ac:dyDescent="0.25">
      <c r="A207" s="101">
        <f>+A205+1</f>
        <v>189</v>
      </c>
      <c r="B207" s="101">
        <v>1</v>
      </c>
      <c r="C207" s="73" t="s">
        <v>48</v>
      </c>
      <c r="D207" s="120" t="s">
        <v>371</v>
      </c>
      <c r="E207" s="123">
        <f t="shared" ref="E207:E270" si="28">SUBTOTAL(9,F207:T207)</f>
        <v>20790092.609999999</v>
      </c>
      <c r="F207" s="107">
        <v>2320624.2799999998</v>
      </c>
      <c r="G207" s="107">
        <v>1208886.8700000001</v>
      </c>
      <c r="H207" s="107">
        <v>647925.87</v>
      </c>
      <c r="I207" s="107">
        <v>480187.06</v>
      </c>
      <c r="J207" s="107">
        <v>0</v>
      </c>
      <c r="K207" s="107"/>
      <c r="L207" s="107"/>
      <c r="M207" s="107">
        <v>0</v>
      </c>
      <c r="N207" s="107">
        <v>4272787.71</v>
      </c>
      <c r="O207" s="107">
        <v>4924704.8499999996</v>
      </c>
      <c r="P207" s="107">
        <v>5939807.0499999998</v>
      </c>
      <c r="Q207" s="107"/>
      <c r="R207" s="107"/>
      <c r="S207" s="108"/>
      <c r="T207" s="108">
        <v>995168.92</v>
      </c>
      <c r="U207" s="23">
        <f t="shared" ref="U207:U248" si="29">COUNTIF(F207:Q207,"&gt;0")</f>
        <v>7</v>
      </c>
      <c r="V207" s="1" t="s">
        <v>146</v>
      </c>
    </row>
    <row r="208" spans="1:22" x14ac:dyDescent="0.25">
      <c r="A208" s="102">
        <f t="shared" ref="A208:A271" si="30">+A207+1</f>
        <v>190</v>
      </c>
      <c r="B208" s="101">
        <f t="shared" ref="B208:B271" si="31">+B207+1</f>
        <v>2</v>
      </c>
      <c r="C208" s="73" t="s">
        <v>49</v>
      </c>
      <c r="D208" s="120" t="s">
        <v>264</v>
      </c>
      <c r="E208" s="123">
        <f t="shared" si="28"/>
        <v>13840695.419989362</v>
      </c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>
        <v>13143358.910419591</v>
      </c>
      <c r="Q208" s="107"/>
      <c r="R208" s="107">
        <v>409917.87</v>
      </c>
      <c r="S208" s="108"/>
      <c r="T208" s="145">
        <v>287418.63956977235</v>
      </c>
      <c r="U208" s="23">
        <f t="shared" si="29"/>
        <v>1</v>
      </c>
    </row>
    <row r="209" spans="1:22" x14ac:dyDescent="0.25">
      <c r="A209" s="102">
        <f t="shared" si="30"/>
        <v>191</v>
      </c>
      <c r="B209" s="101">
        <f t="shared" si="31"/>
        <v>3</v>
      </c>
      <c r="C209" s="73" t="s">
        <v>49</v>
      </c>
      <c r="D209" s="120" t="s">
        <v>261</v>
      </c>
      <c r="E209" s="123">
        <f t="shared" si="28"/>
        <v>24386602.277680095</v>
      </c>
      <c r="F209" s="107"/>
      <c r="G209" s="107"/>
      <c r="H209" s="107">
        <v>3532583.6821182813</v>
      </c>
      <c r="I209" s="107">
        <v>0</v>
      </c>
      <c r="J209" s="107">
        <v>0</v>
      </c>
      <c r="K209" s="107"/>
      <c r="L209" s="107">
        <v>0</v>
      </c>
      <c r="M209" s="107">
        <v>0</v>
      </c>
      <c r="N209" s="107">
        <v>0</v>
      </c>
      <c r="O209" s="107">
        <v>0</v>
      </c>
      <c r="P209" s="107">
        <v>19364748.011947621</v>
      </c>
      <c r="Q209" s="107"/>
      <c r="R209" s="107">
        <v>840138.45000000007</v>
      </c>
      <c r="S209" s="108"/>
      <c r="T209" s="145">
        <v>649132.13361419411</v>
      </c>
      <c r="U209" s="23">
        <f t="shared" si="29"/>
        <v>2</v>
      </c>
    </row>
    <row r="210" spans="1:22" x14ac:dyDescent="0.25">
      <c r="A210" s="102">
        <f t="shared" si="30"/>
        <v>192</v>
      </c>
      <c r="B210" s="101">
        <f t="shared" si="31"/>
        <v>4</v>
      </c>
      <c r="C210" s="73" t="s">
        <v>49</v>
      </c>
      <c r="D210" s="120" t="s">
        <v>262</v>
      </c>
      <c r="E210" s="123">
        <f t="shared" si="28"/>
        <v>24300633.28718384</v>
      </c>
      <c r="F210" s="107"/>
      <c r="G210" s="107"/>
      <c r="H210" s="107">
        <v>3525921.0012484104</v>
      </c>
      <c r="I210" s="107">
        <v>0</v>
      </c>
      <c r="J210" s="107">
        <v>0</v>
      </c>
      <c r="K210" s="107"/>
      <c r="L210" s="107">
        <v>0</v>
      </c>
      <c r="M210" s="107">
        <v>0</v>
      </c>
      <c r="N210" s="107">
        <v>0</v>
      </c>
      <c r="O210" s="107">
        <v>0</v>
      </c>
      <c r="P210" s="107">
        <v>19328224.847108763</v>
      </c>
      <c r="Q210" s="107"/>
      <c r="R210" s="107">
        <v>852470.5</v>
      </c>
      <c r="S210" s="108"/>
      <c r="T210" s="145">
        <v>594016.9388266654</v>
      </c>
      <c r="U210" s="23">
        <f t="shared" si="29"/>
        <v>2</v>
      </c>
    </row>
    <row r="211" spans="1:22" x14ac:dyDescent="0.25">
      <c r="A211" s="102">
        <f t="shared" si="30"/>
        <v>193</v>
      </c>
      <c r="B211" s="101">
        <f t="shared" si="31"/>
        <v>5</v>
      </c>
      <c r="C211" s="73" t="s">
        <v>49</v>
      </c>
      <c r="D211" s="120" t="s">
        <v>263</v>
      </c>
      <c r="E211" s="123">
        <f t="shared" si="28"/>
        <v>16593212.285611872</v>
      </c>
      <c r="F211" s="107"/>
      <c r="G211" s="144"/>
      <c r="H211" s="107">
        <v>2400533.6325012259</v>
      </c>
      <c r="I211" s="144">
        <v>0</v>
      </c>
      <c r="J211" s="107">
        <v>0</v>
      </c>
      <c r="K211" s="107"/>
      <c r="L211" s="107">
        <v>0</v>
      </c>
      <c r="M211" s="107">
        <v>0</v>
      </c>
      <c r="N211" s="144">
        <v>0</v>
      </c>
      <c r="O211" s="144">
        <v>0</v>
      </c>
      <c r="P211" s="107">
        <v>13159130.27705455</v>
      </c>
      <c r="Q211" s="107"/>
      <c r="R211" s="107">
        <v>693290.04</v>
      </c>
      <c r="S211" s="108"/>
      <c r="T211" s="145">
        <v>340258.33605609403</v>
      </c>
      <c r="U211" s="23">
        <f t="shared" si="29"/>
        <v>2</v>
      </c>
    </row>
    <row r="212" spans="1:22" x14ac:dyDescent="0.25">
      <c r="A212" s="102">
        <f t="shared" si="30"/>
        <v>194</v>
      </c>
      <c r="B212" s="101">
        <f t="shared" si="31"/>
        <v>6</v>
      </c>
      <c r="C212" s="73" t="s">
        <v>50</v>
      </c>
      <c r="D212" s="120" t="s">
        <v>271</v>
      </c>
      <c r="E212" s="123">
        <f t="shared" si="28"/>
        <v>3192771.5425127186</v>
      </c>
      <c r="F212" s="107">
        <v>0</v>
      </c>
      <c r="G212" s="107">
        <v>0</v>
      </c>
      <c r="H212" s="107">
        <v>0</v>
      </c>
      <c r="I212" s="107">
        <v>0</v>
      </c>
      <c r="J212" s="107">
        <v>0</v>
      </c>
      <c r="K212" s="107"/>
      <c r="L212" s="107"/>
      <c r="M212" s="107">
        <v>0</v>
      </c>
      <c r="N212" s="107">
        <v>0</v>
      </c>
      <c r="O212" s="107"/>
      <c r="P212" s="107">
        <v>3110879.85</v>
      </c>
      <c r="Q212" s="107"/>
      <c r="R212" s="107"/>
      <c r="S212" s="108"/>
      <c r="T212" s="145">
        <v>81891.69251271851</v>
      </c>
      <c r="U212" s="23">
        <f t="shared" si="29"/>
        <v>1</v>
      </c>
    </row>
    <row r="213" spans="1:22" x14ac:dyDescent="0.25">
      <c r="A213" s="102">
        <f t="shared" si="30"/>
        <v>195</v>
      </c>
      <c r="B213" s="101">
        <f t="shared" si="31"/>
        <v>7</v>
      </c>
      <c r="C213" s="73" t="s">
        <v>50</v>
      </c>
      <c r="D213" s="120" t="s">
        <v>272</v>
      </c>
      <c r="E213" s="123">
        <f t="shared" si="28"/>
        <v>7061196.7887973767</v>
      </c>
      <c r="F213" s="107">
        <v>0</v>
      </c>
      <c r="G213" s="107">
        <v>0</v>
      </c>
      <c r="H213" s="107">
        <v>0</v>
      </c>
      <c r="I213" s="107">
        <v>0</v>
      </c>
      <c r="J213" s="107">
        <v>0</v>
      </c>
      <c r="K213" s="107"/>
      <c r="L213" s="107"/>
      <c r="M213" s="107">
        <v>0</v>
      </c>
      <c r="N213" s="107">
        <v>0</v>
      </c>
      <c r="O213" s="107">
        <v>6881364.6500000004</v>
      </c>
      <c r="P213" s="107"/>
      <c r="Q213" s="107"/>
      <c r="R213" s="107"/>
      <c r="S213" s="108"/>
      <c r="T213" s="145">
        <v>179832.13879737601</v>
      </c>
      <c r="U213" s="23">
        <f t="shared" si="29"/>
        <v>1</v>
      </c>
      <c r="V213" s="1" t="s">
        <v>146</v>
      </c>
    </row>
    <row r="214" spans="1:22" x14ac:dyDescent="0.25">
      <c r="A214" s="102">
        <f t="shared" si="30"/>
        <v>196</v>
      </c>
      <c r="B214" s="101">
        <f t="shared" si="31"/>
        <v>8</v>
      </c>
      <c r="C214" s="73" t="s">
        <v>770</v>
      </c>
      <c r="D214" s="120" t="s">
        <v>764</v>
      </c>
      <c r="E214" s="123">
        <f t="shared" si="28"/>
        <v>31671448.266631678</v>
      </c>
      <c r="F214" s="107"/>
      <c r="G214" s="107"/>
      <c r="H214" s="107"/>
      <c r="I214" s="107"/>
      <c r="J214" s="107"/>
      <c r="K214" s="107"/>
      <c r="L214" s="107"/>
      <c r="M214" s="107"/>
      <c r="N214" s="107">
        <v>12232812.658736875</v>
      </c>
      <c r="O214" s="107"/>
      <c r="P214" s="107">
        <v>15487482.035531683</v>
      </c>
      <c r="Q214" s="107">
        <v>0</v>
      </c>
      <c r="R214" s="107">
        <v>3028252.3878192767</v>
      </c>
      <c r="S214" s="108">
        <v>316714.48266631679</v>
      </c>
      <c r="T214" s="145">
        <v>606186.70187752624</v>
      </c>
      <c r="U214" s="23">
        <f t="shared" si="29"/>
        <v>2</v>
      </c>
    </row>
    <row r="215" spans="1:22" x14ac:dyDescent="0.25">
      <c r="A215" s="102">
        <f t="shared" si="30"/>
        <v>197</v>
      </c>
      <c r="B215" s="101">
        <f t="shared" si="31"/>
        <v>9</v>
      </c>
      <c r="C215" s="73" t="s">
        <v>770</v>
      </c>
      <c r="D215" s="120" t="s">
        <v>765</v>
      </c>
      <c r="E215" s="123">
        <f t="shared" si="28"/>
        <v>36233406.526711687</v>
      </c>
      <c r="F215" s="107"/>
      <c r="G215" s="107"/>
      <c r="H215" s="107"/>
      <c r="I215" s="107"/>
      <c r="J215" s="107"/>
      <c r="K215" s="107"/>
      <c r="L215" s="107"/>
      <c r="M215" s="107"/>
      <c r="N215" s="107">
        <v>13994828.09556587</v>
      </c>
      <c r="O215" s="107"/>
      <c r="P215" s="107">
        <v>17718300.342450511</v>
      </c>
      <c r="Q215" s="107">
        <v>0</v>
      </c>
      <c r="R215" s="107">
        <v>3464442.1344300774</v>
      </c>
      <c r="S215" s="108">
        <v>362334.06526711688</v>
      </c>
      <c r="T215" s="145">
        <v>693501.88899811031</v>
      </c>
      <c r="U215" s="23">
        <f t="shared" si="29"/>
        <v>2</v>
      </c>
    </row>
    <row r="216" spans="1:22" x14ac:dyDescent="0.25">
      <c r="A216" s="102">
        <f t="shared" si="30"/>
        <v>198</v>
      </c>
      <c r="B216" s="101">
        <f t="shared" si="31"/>
        <v>10</v>
      </c>
      <c r="C216" s="73" t="s">
        <v>770</v>
      </c>
      <c r="D216" s="120" t="s">
        <v>766</v>
      </c>
      <c r="E216" s="123">
        <f t="shared" si="28"/>
        <v>31470297.734977923</v>
      </c>
      <c r="F216" s="107"/>
      <c r="G216" s="107"/>
      <c r="H216" s="107"/>
      <c r="I216" s="107"/>
      <c r="J216" s="107"/>
      <c r="K216" s="107"/>
      <c r="L216" s="107"/>
      <c r="M216" s="107"/>
      <c r="N216" s="107">
        <v>12155120.071103673</v>
      </c>
      <c r="O216" s="107"/>
      <c r="P216" s="107">
        <v>15389118.512045218</v>
      </c>
      <c r="Q216" s="107">
        <v>0</v>
      </c>
      <c r="R216" s="107">
        <v>3009019.463178019</v>
      </c>
      <c r="S216" s="108">
        <v>314702.97734977922</v>
      </c>
      <c r="T216" s="145">
        <v>602336.71130123269</v>
      </c>
      <c r="U216" s="23">
        <f t="shared" si="29"/>
        <v>2</v>
      </c>
    </row>
    <row r="217" spans="1:22" x14ac:dyDescent="0.25">
      <c r="A217" s="102">
        <f t="shared" si="30"/>
        <v>199</v>
      </c>
      <c r="B217" s="101">
        <f t="shared" si="31"/>
        <v>11</v>
      </c>
      <c r="C217" s="73" t="s">
        <v>770</v>
      </c>
      <c r="D217" s="120" t="s">
        <v>767</v>
      </c>
      <c r="E217" s="123">
        <f t="shared" si="28"/>
        <v>32122976.042327043</v>
      </c>
      <c r="F217" s="107"/>
      <c r="G217" s="107"/>
      <c r="H217" s="107"/>
      <c r="I217" s="107"/>
      <c r="J217" s="107"/>
      <c r="K217" s="107"/>
      <c r="L217" s="107"/>
      <c r="M217" s="107"/>
      <c r="N217" s="107">
        <v>12407211.209879765</v>
      </c>
      <c r="O217" s="107"/>
      <c r="P217" s="107">
        <v>15708281.16842114</v>
      </c>
      <c r="Q217" s="107">
        <v>0</v>
      </c>
      <c r="R217" s="107">
        <v>3071425.0287861507</v>
      </c>
      <c r="S217" s="108">
        <v>321229.7604232704</v>
      </c>
      <c r="T217" s="145">
        <v>614828.87481671711</v>
      </c>
      <c r="U217" s="23">
        <f t="shared" si="29"/>
        <v>2</v>
      </c>
    </row>
    <row r="218" spans="1:22" x14ac:dyDescent="0.25">
      <c r="A218" s="102">
        <f t="shared" si="30"/>
        <v>200</v>
      </c>
      <c r="B218" s="101">
        <f t="shared" si="31"/>
        <v>12</v>
      </c>
      <c r="C218" s="73" t="s">
        <v>770</v>
      </c>
      <c r="D218" s="120" t="s">
        <v>768</v>
      </c>
      <c r="E218" s="123">
        <f t="shared" si="28"/>
        <v>31506793.401058558</v>
      </c>
      <c r="F218" s="107"/>
      <c r="G218" s="107"/>
      <c r="H218" s="107"/>
      <c r="I218" s="107"/>
      <c r="J218" s="107"/>
      <c r="K218" s="107"/>
      <c r="L218" s="107"/>
      <c r="M218" s="107"/>
      <c r="N218" s="107">
        <v>12169216.194598304</v>
      </c>
      <c r="O218" s="107"/>
      <c r="P218" s="107">
        <v>15406965.058500567</v>
      </c>
      <c r="Q218" s="107">
        <v>0</v>
      </c>
      <c r="R218" s="107">
        <v>3012508.9811509056</v>
      </c>
      <c r="S218" s="108">
        <v>315067.9340105856</v>
      </c>
      <c r="T218" s="145">
        <v>603035.23279819731</v>
      </c>
      <c r="U218" s="23">
        <f t="shared" si="29"/>
        <v>2</v>
      </c>
    </row>
    <row r="219" spans="1:22" x14ac:dyDescent="0.25">
      <c r="A219" s="102">
        <f t="shared" si="30"/>
        <v>201</v>
      </c>
      <c r="B219" s="101">
        <f t="shared" si="31"/>
        <v>13</v>
      </c>
      <c r="C219" s="73" t="s">
        <v>770</v>
      </c>
      <c r="D219" s="120" t="s">
        <v>769</v>
      </c>
      <c r="E219" s="123">
        <f t="shared" si="28"/>
        <v>20302623.914302081</v>
      </c>
      <c r="F219" s="107"/>
      <c r="G219" s="107"/>
      <c r="H219" s="107"/>
      <c r="I219" s="107"/>
      <c r="J219" s="107"/>
      <c r="K219" s="107"/>
      <c r="L219" s="107"/>
      <c r="M219" s="107"/>
      <c r="N219" s="107">
        <v>7841706.2817462962</v>
      </c>
      <c r="O219" s="107"/>
      <c r="P219" s="107">
        <v>9928075.2967079375</v>
      </c>
      <c r="Q219" s="107">
        <v>0</v>
      </c>
      <c r="R219" s="107">
        <v>1941226.9634747808</v>
      </c>
      <c r="S219" s="108">
        <v>203026.23914302082</v>
      </c>
      <c r="T219" s="145">
        <v>388589.13323004358</v>
      </c>
      <c r="U219" s="23">
        <f t="shared" si="29"/>
        <v>2</v>
      </c>
    </row>
    <row r="220" spans="1:22" x14ac:dyDescent="0.25">
      <c r="A220" s="102">
        <f t="shared" si="30"/>
        <v>202</v>
      </c>
      <c r="B220" s="101">
        <f t="shared" si="31"/>
        <v>14</v>
      </c>
      <c r="C220" s="73" t="s">
        <v>81</v>
      </c>
      <c r="D220" s="120" t="s">
        <v>298</v>
      </c>
      <c r="E220" s="123">
        <f t="shared" si="28"/>
        <v>2774182.8301903871</v>
      </c>
      <c r="F220" s="107">
        <v>0</v>
      </c>
      <c r="G220" s="107">
        <v>0</v>
      </c>
      <c r="H220" s="107">
        <v>2714815.3176243128</v>
      </c>
      <c r="I220" s="107">
        <v>0</v>
      </c>
      <c r="J220" s="107">
        <v>0</v>
      </c>
      <c r="K220" s="107"/>
      <c r="L220" s="107"/>
      <c r="M220" s="107">
        <v>0</v>
      </c>
      <c r="N220" s="107">
        <v>0</v>
      </c>
      <c r="O220" s="107">
        <v>0</v>
      </c>
      <c r="P220" s="107">
        <v>0</v>
      </c>
      <c r="Q220" s="107">
        <v>0</v>
      </c>
      <c r="R220" s="107"/>
      <c r="S220" s="108"/>
      <c r="T220" s="145">
        <v>59367.512566074292</v>
      </c>
      <c r="U220" s="23">
        <f t="shared" si="29"/>
        <v>1</v>
      </c>
    </row>
    <row r="221" spans="1:22" x14ac:dyDescent="0.25">
      <c r="A221" s="102">
        <f t="shared" si="30"/>
        <v>203</v>
      </c>
      <c r="B221" s="101">
        <f t="shared" si="31"/>
        <v>15</v>
      </c>
      <c r="C221" s="73" t="s">
        <v>81</v>
      </c>
      <c r="D221" s="120" t="s">
        <v>299</v>
      </c>
      <c r="E221" s="123">
        <f t="shared" si="28"/>
        <v>1941089.6798392318</v>
      </c>
      <c r="F221" s="107"/>
      <c r="G221" s="107">
        <v>0</v>
      </c>
      <c r="H221" s="107">
        <v>1899550.3606906722</v>
      </c>
      <c r="I221" s="107">
        <v>0</v>
      </c>
      <c r="J221" s="107">
        <v>0</v>
      </c>
      <c r="K221" s="107"/>
      <c r="L221" s="107"/>
      <c r="M221" s="107">
        <v>0</v>
      </c>
      <c r="N221" s="107">
        <v>0</v>
      </c>
      <c r="O221" s="107">
        <v>0</v>
      </c>
      <c r="P221" s="107">
        <v>0</v>
      </c>
      <c r="Q221" s="107">
        <v>0</v>
      </c>
      <c r="R221" s="107"/>
      <c r="S221" s="108"/>
      <c r="T221" s="145">
        <v>41539.31914855956</v>
      </c>
      <c r="U221" s="23">
        <f t="shared" si="29"/>
        <v>1</v>
      </c>
    </row>
    <row r="222" spans="1:22" x14ac:dyDescent="0.25">
      <c r="A222" s="102">
        <f t="shared" si="30"/>
        <v>204</v>
      </c>
      <c r="B222" s="101">
        <f t="shared" si="31"/>
        <v>16</v>
      </c>
      <c r="C222" s="73" t="s">
        <v>81</v>
      </c>
      <c r="D222" s="120" t="s">
        <v>300</v>
      </c>
      <c r="E222" s="123">
        <f t="shared" si="28"/>
        <v>3942804.3934862674</v>
      </c>
      <c r="F222" s="107"/>
      <c r="G222" s="107"/>
      <c r="H222" s="107">
        <v>3492077.6109207738</v>
      </c>
      <c r="I222" s="107"/>
      <c r="J222" s="107">
        <v>0</v>
      </c>
      <c r="K222" s="107"/>
      <c r="L222" s="107"/>
      <c r="M222" s="107">
        <v>0</v>
      </c>
      <c r="N222" s="107">
        <v>0</v>
      </c>
      <c r="O222" s="107">
        <v>0</v>
      </c>
      <c r="P222" s="107">
        <v>0</v>
      </c>
      <c r="Q222" s="107">
        <v>0</v>
      </c>
      <c r="R222" s="107"/>
      <c r="S222" s="108"/>
      <c r="T222" s="145">
        <v>450726.78256549343</v>
      </c>
      <c r="U222" s="23">
        <f t="shared" si="29"/>
        <v>1</v>
      </c>
    </row>
    <row r="223" spans="1:22" x14ac:dyDescent="0.25">
      <c r="A223" s="102">
        <f t="shared" si="30"/>
        <v>205</v>
      </c>
      <c r="B223" s="101">
        <f t="shared" si="31"/>
        <v>17</v>
      </c>
      <c r="C223" s="73" t="s">
        <v>81</v>
      </c>
      <c r="D223" s="120" t="s">
        <v>301</v>
      </c>
      <c r="E223" s="123">
        <f t="shared" si="28"/>
        <v>2933317.4926648322</v>
      </c>
      <c r="F223" s="107">
        <v>0</v>
      </c>
      <c r="G223" s="107">
        <v>0</v>
      </c>
      <c r="H223" s="107">
        <v>2870544.4983218047</v>
      </c>
      <c r="I223" s="107">
        <v>0</v>
      </c>
      <c r="J223" s="107">
        <v>0</v>
      </c>
      <c r="K223" s="107"/>
      <c r="L223" s="107"/>
      <c r="M223" s="107">
        <v>0</v>
      </c>
      <c r="N223" s="107">
        <v>0</v>
      </c>
      <c r="O223" s="107">
        <v>0</v>
      </c>
      <c r="P223" s="107">
        <v>0</v>
      </c>
      <c r="Q223" s="107">
        <v>0</v>
      </c>
      <c r="R223" s="107"/>
      <c r="S223" s="108"/>
      <c r="T223" s="145">
        <v>62772.994343027407</v>
      </c>
      <c r="U223" s="23">
        <f t="shared" si="29"/>
        <v>1</v>
      </c>
    </row>
    <row r="224" spans="1:22" x14ac:dyDescent="0.25">
      <c r="A224" s="102">
        <f t="shared" si="30"/>
        <v>206</v>
      </c>
      <c r="B224" s="101">
        <f t="shared" si="31"/>
        <v>18</v>
      </c>
      <c r="C224" s="73" t="s">
        <v>81</v>
      </c>
      <c r="D224" s="120" t="s">
        <v>279</v>
      </c>
      <c r="E224" s="123">
        <f t="shared" si="28"/>
        <v>6651991.1786065921</v>
      </c>
      <c r="F224" s="107"/>
      <c r="G224" s="107"/>
      <c r="H224" s="107">
        <v>6509638.5673844106</v>
      </c>
      <c r="I224" s="107"/>
      <c r="J224" s="107"/>
      <c r="K224" s="107"/>
      <c r="L224" s="107"/>
      <c r="M224" s="107">
        <v>0</v>
      </c>
      <c r="N224" s="107">
        <v>0</v>
      </c>
      <c r="O224" s="107">
        <v>0</v>
      </c>
      <c r="P224" s="107">
        <v>0</v>
      </c>
      <c r="Q224" s="107">
        <v>0</v>
      </c>
      <c r="R224" s="107"/>
      <c r="S224" s="108"/>
      <c r="T224" s="145">
        <v>142352.61122218109</v>
      </c>
      <c r="U224" s="23">
        <f t="shared" si="29"/>
        <v>1</v>
      </c>
    </row>
    <row r="225" spans="1:22" x14ac:dyDescent="0.25">
      <c r="A225" s="102">
        <f t="shared" si="30"/>
        <v>207</v>
      </c>
      <c r="B225" s="101">
        <f t="shared" si="31"/>
        <v>19</v>
      </c>
      <c r="C225" s="73" t="s">
        <v>81</v>
      </c>
      <c r="D225" s="120" t="s">
        <v>280</v>
      </c>
      <c r="E225" s="123">
        <f t="shared" si="28"/>
        <v>2815397.6870522881</v>
      </c>
      <c r="F225" s="107"/>
      <c r="G225" s="107"/>
      <c r="H225" s="107">
        <v>2755148.176549369</v>
      </c>
      <c r="I225" s="107"/>
      <c r="J225" s="107"/>
      <c r="K225" s="107"/>
      <c r="L225" s="107"/>
      <c r="M225" s="107">
        <v>0</v>
      </c>
      <c r="N225" s="107">
        <v>0</v>
      </c>
      <c r="O225" s="107"/>
      <c r="P225" s="107">
        <v>0</v>
      </c>
      <c r="Q225" s="107">
        <v>0</v>
      </c>
      <c r="R225" s="107"/>
      <c r="S225" s="108"/>
      <c r="T225" s="145">
        <v>60249.510502918965</v>
      </c>
      <c r="U225" s="23">
        <f t="shared" si="29"/>
        <v>1</v>
      </c>
    </row>
    <row r="226" spans="1:22" x14ac:dyDescent="0.25">
      <c r="A226" s="102">
        <f t="shared" si="30"/>
        <v>208</v>
      </c>
      <c r="B226" s="101">
        <f t="shared" si="31"/>
        <v>20</v>
      </c>
      <c r="C226" s="73" t="s">
        <v>81</v>
      </c>
      <c r="D226" s="120" t="s">
        <v>302</v>
      </c>
      <c r="E226" s="123">
        <f t="shared" si="28"/>
        <v>5085565.8713689661</v>
      </c>
      <c r="F226" s="107">
        <v>0</v>
      </c>
      <c r="G226" s="107">
        <v>0</v>
      </c>
      <c r="H226" s="107">
        <v>0</v>
      </c>
      <c r="I226" s="107">
        <v>0</v>
      </c>
      <c r="J226" s="107">
        <v>0</v>
      </c>
      <c r="K226" s="107"/>
      <c r="L226" s="107"/>
      <c r="M226" s="107">
        <v>0</v>
      </c>
      <c r="N226" s="107">
        <v>0</v>
      </c>
      <c r="O226" s="107">
        <v>0</v>
      </c>
      <c r="P226" s="107">
        <v>4644971.0999999996</v>
      </c>
      <c r="Q226" s="107">
        <v>0</v>
      </c>
      <c r="R226" s="144"/>
      <c r="S226" s="144"/>
      <c r="T226" s="145">
        <v>440594.77136896638</v>
      </c>
      <c r="U226" s="23">
        <f t="shared" si="29"/>
        <v>1</v>
      </c>
      <c r="V226" s="1" t="s">
        <v>146</v>
      </c>
    </row>
    <row r="227" spans="1:22" x14ac:dyDescent="0.25">
      <c r="A227" s="102">
        <f t="shared" si="30"/>
        <v>209</v>
      </c>
      <c r="B227" s="101">
        <f t="shared" si="31"/>
        <v>21</v>
      </c>
      <c r="C227" s="73" t="s">
        <v>81</v>
      </c>
      <c r="D227" s="120" t="s">
        <v>303</v>
      </c>
      <c r="E227" s="123">
        <f t="shared" si="28"/>
        <v>3925263.292793856</v>
      </c>
      <c r="F227" s="107">
        <v>0</v>
      </c>
      <c r="G227" s="107">
        <v>0</v>
      </c>
      <c r="H227" s="107">
        <v>3841262.6583280675</v>
      </c>
      <c r="I227" s="107">
        <v>0</v>
      </c>
      <c r="J227" s="107">
        <v>0</v>
      </c>
      <c r="K227" s="107"/>
      <c r="L227" s="107"/>
      <c r="M227" s="107">
        <v>0</v>
      </c>
      <c r="N227" s="107">
        <v>0</v>
      </c>
      <c r="O227" s="107">
        <v>0</v>
      </c>
      <c r="P227" s="107">
        <v>0</v>
      </c>
      <c r="Q227" s="107">
        <v>0</v>
      </c>
      <c r="R227" s="107"/>
      <c r="S227" s="108"/>
      <c r="T227" s="145">
        <v>84000.634465788535</v>
      </c>
      <c r="U227" s="23">
        <f t="shared" si="29"/>
        <v>1</v>
      </c>
    </row>
    <row r="228" spans="1:22" x14ac:dyDescent="0.25">
      <c r="A228" s="102">
        <f t="shared" si="30"/>
        <v>210</v>
      </c>
      <c r="B228" s="101">
        <f t="shared" si="31"/>
        <v>22</v>
      </c>
      <c r="C228" s="73" t="s">
        <v>81</v>
      </c>
      <c r="D228" s="120" t="s">
        <v>304</v>
      </c>
      <c r="E228" s="123">
        <f t="shared" si="28"/>
        <v>34187098.075670823</v>
      </c>
      <c r="F228" s="107">
        <v>24967938.10343796</v>
      </c>
      <c r="G228" s="107">
        <v>0</v>
      </c>
      <c r="H228" s="107">
        <v>7378265.4321645685</v>
      </c>
      <c r="I228" s="107">
        <v>0</v>
      </c>
      <c r="J228" s="107">
        <v>0</v>
      </c>
      <c r="K228" s="107"/>
      <c r="L228" s="107">
        <v>1109290.6412489424</v>
      </c>
      <c r="M228" s="107">
        <v>0</v>
      </c>
      <c r="N228" s="107">
        <v>0</v>
      </c>
      <c r="O228" s="107">
        <v>0</v>
      </c>
      <c r="P228" s="107">
        <v>0</v>
      </c>
      <c r="Q228" s="107">
        <v>0</v>
      </c>
      <c r="R228" s="107"/>
      <c r="S228" s="108"/>
      <c r="T228" s="145">
        <v>731603.89881935576</v>
      </c>
      <c r="U228" s="23">
        <f t="shared" si="29"/>
        <v>3</v>
      </c>
    </row>
    <row r="229" spans="1:22" x14ac:dyDescent="0.25">
      <c r="A229" s="102">
        <f t="shared" si="30"/>
        <v>211</v>
      </c>
      <c r="B229" s="101">
        <f t="shared" si="31"/>
        <v>23</v>
      </c>
      <c r="C229" s="73" t="s">
        <v>81</v>
      </c>
      <c r="D229" s="120" t="s">
        <v>283</v>
      </c>
      <c r="E229" s="123">
        <f t="shared" si="28"/>
        <v>4356885.5964561403</v>
      </c>
      <c r="F229" s="107">
        <v>3825570</v>
      </c>
      <c r="G229" s="107"/>
      <c r="H229" s="107"/>
      <c r="I229" s="107">
        <v>0</v>
      </c>
      <c r="J229" s="107">
        <v>0</v>
      </c>
      <c r="K229" s="107"/>
      <c r="L229" s="107"/>
      <c r="M229" s="107"/>
      <c r="N229" s="107"/>
      <c r="O229" s="107">
        <v>0</v>
      </c>
      <c r="P229" s="107">
        <v>0</v>
      </c>
      <c r="Q229" s="107">
        <v>0</v>
      </c>
      <c r="R229" s="107"/>
      <c r="S229" s="108"/>
      <c r="T229" s="145">
        <v>531315.59645614028</v>
      </c>
      <c r="U229" s="23">
        <f t="shared" si="29"/>
        <v>1</v>
      </c>
      <c r="V229" s="1" t="s">
        <v>146</v>
      </c>
    </row>
    <row r="230" spans="1:22" x14ac:dyDescent="0.25">
      <c r="A230" s="102">
        <f t="shared" si="30"/>
        <v>212</v>
      </c>
      <c r="B230" s="101">
        <f t="shared" si="31"/>
        <v>24</v>
      </c>
      <c r="C230" s="73" t="s">
        <v>81</v>
      </c>
      <c r="D230" s="120" t="s">
        <v>284</v>
      </c>
      <c r="E230" s="123">
        <f t="shared" si="28"/>
        <v>5964947.0233067526</v>
      </c>
      <c r="F230" s="107"/>
      <c r="G230" s="107"/>
      <c r="H230" s="107">
        <v>5837297.1570079876</v>
      </c>
      <c r="I230" s="107"/>
      <c r="J230" s="107"/>
      <c r="K230" s="107"/>
      <c r="L230" s="107"/>
      <c r="M230" s="107"/>
      <c r="N230" s="107"/>
      <c r="O230" s="107"/>
      <c r="P230" s="107">
        <v>0</v>
      </c>
      <c r="Q230" s="107">
        <v>0</v>
      </c>
      <c r="R230" s="107"/>
      <c r="S230" s="108"/>
      <c r="T230" s="145">
        <v>127649.86629876452</v>
      </c>
      <c r="U230" s="23">
        <f t="shared" si="29"/>
        <v>1</v>
      </c>
    </row>
    <row r="231" spans="1:22" x14ac:dyDescent="0.25">
      <c r="A231" s="102">
        <f t="shared" si="30"/>
        <v>213</v>
      </c>
      <c r="B231" s="101">
        <f t="shared" si="31"/>
        <v>25</v>
      </c>
      <c r="C231" s="73" t="s">
        <v>81</v>
      </c>
      <c r="D231" s="120" t="s">
        <v>285</v>
      </c>
      <c r="E231" s="123">
        <f t="shared" si="28"/>
        <v>4916517.9743421944</v>
      </c>
      <c r="F231" s="107"/>
      <c r="G231" s="107"/>
      <c r="H231" s="107"/>
      <c r="I231" s="107"/>
      <c r="J231" s="107">
        <v>0</v>
      </c>
      <c r="K231" s="107"/>
      <c r="L231" s="107"/>
      <c r="M231" s="107">
        <v>0</v>
      </c>
      <c r="N231" s="107">
        <v>0</v>
      </c>
      <c r="O231" s="107">
        <v>3968655.74</v>
      </c>
      <c r="P231" s="107">
        <v>0</v>
      </c>
      <c r="Q231" s="107">
        <v>0</v>
      </c>
      <c r="R231" s="107"/>
      <c r="S231" s="108"/>
      <c r="T231" s="145">
        <v>947862.23434219416</v>
      </c>
      <c r="U231" s="23">
        <f t="shared" si="29"/>
        <v>1</v>
      </c>
      <c r="V231" s="1" t="s">
        <v>146</v>
      </c>
    </row>
    <row r="232" spans="1:22" x14ac:dyDescent="0.25">
      <c r="A232" s="102">
        <f t="shared" si="30"/>
        <v>214</v>
      </c>
      <c r="B232" s="101">
        <f t="shared" si="31"/>
        <v>26</v>
      </c>
      <c r="C232" s="73" t="s">
        <v>81</v>
      </c>
      <c r="D232" s="120" t="s">
        <v>286</v>
      </c>
      <c r="E232" s="123">
        <f t="shared" si="28"/>
        <v>1476035.4285397425</v>
      </c>
      <c r="F232" s="107"/>
      <c r="G232" s="107"/>
      <c r="H232" s="107">
        <v>942849.34432128002</v>
      </c>
      <c r="I232" s="107"/>
      <c r="J232" s="107">
        <v>0</v>
      </c>
      <c r="K232" s="107"/>
      <c r="L232" s="107"/>
      <c r="M232" s="107">
        <v>0</v>
      </c>
      <c r="N232" s="107">
        <v>0</v>
      </c>
      <c r="O232" s="107"/>
      <c r="P232" s="107">
        <v>0</v>
      </c>
      <c r="Q232" s="107">
        <v>0</v>
      </c>
      <c r="R232" s="107"/>
      <c r="S232" s="108"/>
      <c r="T232" s="145">
        <v>533186.08421846246</v>
      </c>
      <c r="U232" s="23">
        <f t="shared" si="29"/>
        <v>1</v>
      </c>
    </row>
    <row r="233" spans="1:22" x14ac:dyDescent="0.25">
      <c r="A233" s="102">
        <f t="shared" si="30"/>
        <v>215</v>
      </c>
      <c r="B233" s="101">
        <f t="shared" si="31"/>
        <v>27</v>
      </c>
      <c r="C233" s="73" t="s">
        <v>81</v>
      </c>
      <c r="D233" s="120" t="s">
        <v>288</v>
      </c>
      <c r="E233" s="123">
        <f t="shared" si="28"/>
        <v>2204474.695667712</v>
      </c>
      <c r="F233" s="107"/>
      <c r="G233" s="107"/>
      <c r="H233" s="107">
        <v>2157298.9371804232</v>
      </c>
      <c r="I233" s="107"/>
      <c r="J233" s="107">
        <v>0</v>
      </c>
      <c r="K233" s="107"/>
      <c r="L233" s="107"/>
      <c r="M233" s="107">
        <v>0</v>
      </c>
      <c r="N233" s="107">
        <v>0</v>
      </c>
      <c r="O233" s="107"/>
      <c r="P233" s="107">
        <v>0</v>
      </c>
      <c r="Q233" s="107">
        <v>0</v>
      </c>
      <c r="R233" s="107"/>
      <c r="S233" s="108"/>
      <c r="T233" s="145">
        <v>47175.758487289037</v>
      </c>
      <c r="U233" s="23">
        <f t="shared" si="29"/>
        <v>1</v>
      </c>
    </row>
    <row r="234" spans="1:22" x14ac:dyDescent="0.25">
      <c r="A234" s="102">
        <f t="shared" si="30"/>
        <v>216</v>
      </c>
      <c r="B234" s="101">
        <f t="shared" si="31"/>
        <v>28</v>
      </c>
      <c r="C234" s="73" t="s">
        <v>81</v>
      </c>
      <c r="D234" s="120" t="s">
        <v>289</v>
      </c>
      <c r="E234" s="123">
        <f t="shared" si="28"/>
        <v>1338332.7178491487</v>
      </c>
      <c r="F234" s="107"/>
      <c r="G234" s="107"/>
      <c r="H234" s="107"/>
      <c r="I234" s="107"/>
      <c r="J234" s="107"/>
      <c r="K234" s="107"/>
      <c r="L234" s="107"/>
      <c r="M234" s="107">
        <v>0</v>
      </c>
      <c r="N234" s="107">
        <v>0</v>
      </c>
      <c r="O234" s="107">
        <v>1088656.8700000001</v>
      </c>
      <c r="P234" s="107">
        <v>0</v>
      </c>
      <c r="Q234" s="107">
        <v>0</v>
      </c>
      <c r="R234" s="107"/>
      <c r="S234" s="108"/>
      <c r="T234" s="145">
        <v>249675.84784914847</v>
      </c>
      <c r="U234" s="23">
        <f t="shared" si="29"/>
        <v>1</v>
      </c>
      <c r="V234" s="1" t="s">
        <v>146</v>
      </c>
    </row>
    <row r="235" spans="1:22" x14ac:dyDescent="0.25">
      <c r="A235" s="102">
        <f t="shared" si="30"/>
        <v>217</v>
      </c>
      <c r="B235" s="101">
        <f t="shared" si="31"/>
        <v>29</v>
      </c>
      <c r="C235" s="73" t="s">
        <v>81</v>
      </c>
      <c r="D235" s="120" t="s">
        <v>305</v>
      </c>
      <c r="E235" s="123">
        <f t="shared" si="28"/>
        <v>1025546.3535245289</v>
      </c>
      <c r="F235" s="107"/>
      <c r="G235" s="107">
        <v>953472.79</v>
      </c>
      <c r="H235" s="107">
        <v>0</v>
      </c>
      <c r="I235" s="107"/>
      <c r="J235" s="107">
        <v>0</v>
      </c>
      <c r="K235" s="107"/>
      <c r="L235" s="107"/>
      <c r="M235" s="107">
        <v>0</v>
      </c>
      <c r="N235" s="107">
        <v>0</v>
      </c>
      <c r="O235" s="107">
        <v>0</v>
      </c>
      <c r="P235" s="107">
        <v>0</v>
      </c>
      <c r="Q235" s="107">
        <v>0</v>
      </c>
      <c r="R235" s="107"/>
      <c r="S235" s="108"/>
      <c r="T235" s="145">
        <v>72073.563524528814</v>
      </c>
      <c r="U235" s="23">
        <f t="shared" si="29"/>
        <v>1</v>
      </c>
    </row>
    <row r="236" spans="1:22" x14ac:dyDescent="0.25">
      <c r="A236" s="102">
        <f t="shared" si="30"/>
        <v>218</v>
      </c>
      <c r="B236" s="101">
        <f t="shared" si="31"/>
        <v>30</v>
      </c>
      <c r="C236" s="73" t="s">
        <v>81</v>
      </c>
      <c r="D236" s="120" t="s">
        <v>306</v>
      </c>
      <c r="E236" s="123">
        <f t="shared" si="28"/>
        <v>2354342.2921141018</v>
      </c>
      <c r="F236" s="107"/>
      <c r="G236" s="107"/>
      <c r="H236" s="107">
        <v>1971493.3699526463</v>
      </c>
      <c r="I236" s="107"/>
      <c r="J236" s="107">
        <v>0</v>
      </c>
      <c r="K236" s="107"/>
      <c r="L236" s="107"/>
      <c r="M236" s="107">
        <v>0</v>
      </c>
      <c r="N236" s="107">
        <v>0</v>
      </c>
      <c r="O236" s="107"/>
      <c r="P236" s="107">
        <v>0</v>
      </c>
      <c r="Q236" s="107">
        <v>0</v>
      </c>
      <c r="R236" s="107"/>
      <c r="S236" s="108"/>
      <c r="T236" s="145">
        <v>382848.92216145538</v>
      </c>
      <c r="U236" s="23">
        <f t="shared" si="29"/>
        <v>1</v>
      </c>
    </row>
    <row r="237" spans="1:22" x14ac:dyDescent="0.25">
      <c r="A237" s="102">
        <f t="shared" si="30"/>
        <v>219</v>
      </c>
      <c r="B237" s="101">
        <f t="shared" si="31"/>
        <v>31</v>
      </c>
      <c r="C237" s="73" t="s">
        <v>81</v>
      </c>
      <c r="D237" s="120" t="s">
        <v>291</v>
      </c>
      <c r="E237" s="123">
        <f t="shared" si="28"/>
        <v>5259601.8489347352</v>
      </c>
      <c r="F237" s="107">
        <v>2924642.29</v>
      </c>
      <c r="G237" s="107"/>
      <c r="H237" s="107"/>
      <c r="I237" s="107">
        <v>1797583.57</v>
      </c>
      <c r="J237" s="107">
        <v>0</v>
      </c>
      <c r="K237" s="107"/>
      <c r="L237" s="107"/>
      <c r="M237" s="107">
        <v>0</v>
      </c>
      <c r="N237" s="107">
        <v>0</v>
      </c>
      <c r="O237" s="107">
        <v>0</v>
      </c>
      <c r="P237" s="107">
        <v>0</v>
      </c>
      <c r="Q237" s="107">
        <v>0</v>
      </c>
      <c r="R237" s="107"/>
      <c r="S237" s="108"/>
      <c r="T237" s="145">
        <v>537375.98893473484</v>
      </c>
      <c r="U237" s="23">
        <f t="shared" si="29"/>
        <v>2</v>
      </c>
      <c r="V237" s="1" t="s">
        <v>146</v>
      </c>
    </row>
    <row r="238" spans="1:22" x14ac:dyDescent="0.25">
      <c r="A238" s="102">
        <f t="shared" si="30"/>
        <v>220</v>
      </c>
      <c r="B238" s="101">
        <f t="shared" si="31"/>
        <v>32</v>
      </c>
      <c r="C238" s="73" t="s">
        <v>81</v>
      </c>
      <c r="D238" s="120" t="s">
        <v>307</v>
      </c>
      <c r="E238" s="123">
        <f t="shared" si="28"/>
        <v>1852088.6992158722</v>
      </c>
      <c r="F238" s="107"/>
      <c r="G238" s="107"/>
      <c r="H238" s="107">
        <v>1812454.0010526525</v>
      </c>
      <c r="I238" s="107"/>
      <c r="J238" s="107"/>
      <c r="K238" s="107"/>
      <c r="L238" s="107"/>
      <c r="M238" s="107">
        <v>0</v>
      </c>
      <c r="N238" s="107">
        <v>0</v>
      </c>
      <c r="O238" s="107">
        <v>0</v>
      </c>
      <c r="P238" s="107">
        <v>0</v>
      </c>
      <c r="Q238" s="107">
        <v>0</v>
      </c>
      <c r="R238" s="107"/>
      <c r="S238" s="108"/>
      <c r="T238" s="145">
        <v>39634.698163219669</v>
      </c>
      <c r="U238" s="23">
        <f t="shared" si="29"/>
        <v>1</v>
      </c>
    </row>
    <row r="239" spans="1:22" x14ac:dyDescent="0.25">
      <c r="A239" s="102">
        <f t="shared" si="30"/>
        <v>221</v>
      </c>
      <c r="B239" s="101">
        <f t="shared" si="31"/>
        <v>33</v>
      </c>
      <c r="C239" s="73" t="s">
        <v>81</v>
      </c>
      <c r="D239" s="120" t="s">
        <v>295</v>
      </c>
      <c r="E239" s="123">
        <f t="shared" si="28"/>
        <v>3347402.022785434</v>
      </c>
      <c r="F239" s="107"/>
      <c r="G239" s="107"/>
      <c r="H239" s="107">
        <v>3275767.6194978259</v>
      </c>
      <c r="I239" s="107"/>
      <c r="J239" s="107"/>
      <c r="K239" s="107"/>
      <c r="L239" s="107"/>
      <c r="M239" s="107"/>
      <c r="N239" s="107"/>
      <c r="O239" s="107">
        <v>0</v>
      </c>
      <c r="P239" s="107">
        <v>0</v>
      </c>
      <c r="Q239" s="107">
        <v>0</v>
      </c>
      <c r="R239" s="107"/>
      <c r="S239" s="108"/>
      <c r="T239" s="145">
        <v>71634.403287608293</v>
      </c>
      <c r="U239" s="23">
        <f t="shared" si="29"/>
        <v>1</v>
      </c>
    </row>
    <row r="240" spans="1:22" x14ac:dyDescent="0.25">
      <c r="A240" s="102">
        <f t="shared" si="30"/>
        <v>222</v>
      </c>
      <c r="B240" s="101">
        <f t="shared" si="31"/>
        <v>34</v>
      </c>
      <c r="C240" s="73" t="s">
        <v>81</v>
      </c>
      <c r="D240" s="120" t="s">
        <v>197</v>
      </c>
      <c r="E240" s="123">
        <f t="shared" si="28"/>
        <v>5076500.6375817275</v>
      </c>
      <c r="F240" s="107"/>
      <c r="G240" s="107"/>
      <c r="H240" s="107">
        <v>4496173.9029232748</v>
      </c>
      <c r="I240" s="107"/>
      <c r="J240" s="107">
        <v>0</v>
      </c>
      <c r="K240" s="107"/>
      <c r="L240" s="107"/>
      <c r="M240" s="107">
        <v>0</v>
      </c>
      <c r="N240" s="107">
        <v>0</v>
      </c>
      <c r="O240" s="107"/>
      <c r="P240" s="107">
        <v>0</v>
      </c>
      <c r="Q240" s="107">
        <v>0</v>
      </c>
      <c r="R240" s="107"/>
      <c r="S240" s="108"/>
      <c r="T240" s="145">
        <v>580326.73465845292</v>
      </c>
      <c r="U240" s="23">
        <f t="shared" si="29"/>
        <v>1</v>
      </c>
    </row>
    <row r="241" spans="1:21" x14ac:dyDescent="0.25">
      <c r="A241" s="102">
        <f t="shared" si="30"/>
        <v>223</v>
      </c>
      <c r="B241" s="101">
        <f t="shared" si="31"/>
        <v>35</v>
      </c>
      <c r="C241" s="73" t="s">
        <v>81</v>
      </c>
      <c r="D241" s="120" t="s">
        <v>227</v>
      </c>
      <c r="E241" s="123">
        <f t="shared" si="28"/>
        <v>3746079.1046375427</v>
      </c>
      <c r="F241" s="107">
        <v>0</v>
      </c>
      <c r="G241" s="107">
        <v>0</v>
      </c>
      <c r="H241" s="107">
        <v>3665913.0117982994</v>
      </c>
      <c r="I241" s="107">
        <v>0</v>
      </c>
      <c r="J241" s="107">
        <v>0</v>
      </c>
      <c r="K241" s="107"/>
      <c r="L241" s="107"/>
      <c r="M241" s="107">
        <v>0</v>
      </c>
      <c r="N241" s="107">
        <v>0</v>
      </c>
      <c r="O241" s="107">
        <v>0</v>
      </c>
      <c r="P241" s="107">
        <v>0</v>
      </c>
      <c r="Q241" s="107">
        <v>0</v>
      </c>
      <c r="R241" s="107"/>
      <c r="S241" s="108"/>
      <c r="T241" s="145">
        <v>80166.092839243414</v>
      </c>
      <c r="U241" s="23">
        <f t="shared" si="29"/>
        <v>1</v>
      </c>
    </row>
    <row r="242" spans="1:21" x14ac:dyDescent="0.25">
      <c r="A242" s="102">
        <f t="shared" si="30"/>
        <v>224</v>
      </c>
      <c r="B242" s="101">
        <f t="shared" si="31"/>
        <v>36</v>
      </c>
      <c r="C242" s="73" t="s">
        <v>81</v>
      </c>
      <c r="D242" s="120" t="s">
        <v>201</v>
      </c>
      <c r="E242" s="123">
        <f t="shared" si="28"/>
        <v>9298826.2293740809</v>
      </c>
      <c r="F242" s="107">
        <v>0</v>
      </c>
      <c r="G242" s="107">
        <v>0</v>
      </c>
      <c r="H242" s="107">
        <v>0</v>
      </c>
      <c r="I242" s="107">
        <v>0</v>
      </c>
      <c r="J242" s="107">
        <v>0</v>
      </c>
      <c r="K242" s="107"/>
      <c r="L242" s="107"/>
      <c r="M242" s="107">
        <v>0</v>
      </c>
      <c r="N242" s="107">
        <v>8234860.9800000004</v>
      </c>
      <c r="O242" s="107">
        <v>0</v>
      </c>
      <c r="P242" s="107"/>
      <c r="Q242" s="107">
        <v>0</v>
      </c>
      <c r="R242" s="107"/>
      <c r="S242" s="108"/>
      <c r="T242" s="145">
        <v>1063965.2493740798</v>
      </c>
      <c r="U242" s="23">
        <f t="shared" si="29"/>
        <v>1</v>
      </c>
    </row>
    <row r="243" spans="1:21" x14ac:dyDescent="0.25">
      <c r="A243" s="102">
        <f t="shared" si="30"/>
        <v>225</v>
      </c>
      <c r="B243" s="101">
        <f t="shared" si="31"/>
        <v>37</v>
      </c>
      <c r="C243" s="73" t="s">
        <v>81</v>
      </c>
      <c r="D243" s="120" t="s">
        <v>202</v>
      </c>
      <c r="E243" s="123">
        <f t="shared" si="28"/>
        <v>5935901.4009709377</v>
      </c>
      <c r="F243" s="107">
        <v>5754660.8418093584</v>
      </c>
      <c r="G243" s="107"/>
      <c r="H243" s="107">
        <v>0</v>
      </c>
      <c r="I243" s="107">
        <v>0</v>
      </c>
      <c r="J243" s="107">
        <v>0</v>
      </c>
      <c r="K243" s="107"/>
      <c r="L243" s="107"/>
      <c r="M243" s="107"/>
      <c r="N243" s="107"/>
      <c r="O243" s="107"/>
      <c r="P243" s="107"/>
      <c r="Q243" s="107">
        <v>0</v>
      </c>
      <c r="R243" s="107"/>
      <c r="S243" s="108"/>
      <c r="T243" s="145">
        <v>181240.55916157967</v>
      </c>
      <c r="U243" s="23">
        <f t="shared" si="29"/>
        <v>1</v>
      </c>
    </row>
    <row r="244" spans="1:21" x14ac:dyDescent="0.25">
      <c r="A244" s="102">
        <f t="shared" si="30"/>
        <v>226</v>
      </c>
      <c r="B244" s="101">
        <f t="shared" si="31"/>
        <v>38</v>
      </c>
      <c r="C244" s="73" t="s">
        <v>81</v>
      </c>
      <c r="D244" s="120" t="s">
        <v>308</v>
      </c>
      <c r="E244" s="123">
        <f t="shared" si="28"/>
        <v>41769554.810000002</v>
      </c>
      <c r="F244" s="107">
        <v>10425186.939999999</v>
      </c>
      <c r="G244" s="107">
        <v>4577737.76</v>
      </c>
      <c r="H244" s="107">
        <v>0</v>
      </c>
      <c r="I244" s="107">
        <v>0</v>
      </c>
      <c r="J244" s="107">
        <v>0</v>
      </c>
      <c r="K244" s="107"/>
      <c r="L244" s="107">
        <v>397015.54</v>
      </c>
      <c r="M244" s="107">
        <v>0</v>
      </c>
      <c r="N244" s="107">
        <v>17477225.23</v>
      </c>
      <c r="O244" s="107">
        <v>7999958.25</v>
      </c>
      <c r="P244" s="107">
        <v>0</v>
      </c>
      <c r="Q244" s="107">
        <v>0</v>
      </c>
      <c r="R244" s="107"/>
      <c r="S244" s="108"/>
      <c r="T244" s="145">
        <v>892431.09</v>
      </c>
      <c r="U244" s="23">
        <f t="shared" si="29"/>
        <v>5</v>
      </c>
    </row>
    <row r="245" spans="1:21" x14ac:dyDescent="0.25">
      <c r="A245" s="102">
        <f t="shared" si="30"/>
        <v>227</v>
      </c>
      <c r="B245" s="101">
        <f t="shared" si="31"/>
        <v>39</v>
      </c>
      <c r="C245" s="73" t="s">
        <v>81</v>
      </c>
      <c r="D245" s="120" t="s">
        <v>309</v>
      </c>
      <c r="E245" s="123">
        <f t="shared" si="28"/>
        <v>5241164.7990356795</v>
      </c>
      <c r="F245" s="107">
        <v>0</v>
      </c>
      <c r="G245" s="107">
        <v>0</v>
      </c>
      <c r="H245" s="107">
        <v>917077.8</v>
      </c>
      <c r="I245" s="107">
        <v>0</v>
      </c>
      <c r="J245" s="107">
        <v>0</v>
      </c>
      <c r="K245" s="107"/>
      <c r="L245" s="107"/>
      <c r="M245" s="107">
        <v>0</v>
      </c>
      <c r="N245" s="107">
        <v>0</v>
      </c>
      <c r="O245" s="107">
        <v>4285501.51</v>
      </c>
      <c r="P245" s="107">
        <v>0</v>
      </c>
      <c r="Q245" s="107">
        <v>0</v>
      </c>
      <c r="R245" s="107"/>
      <c r="S245" s="108"/>
      <c r="T245" s="145">
        <v>38585.489035679544</v>
      </c>
      <c r="U245" s="23">
        <f t="shared" si="29"/>
        <v>2</v>
      </c>
    </row>
    <row r="246" spans="1:21" x14ac:dyDescent="0.25">
      <c r="A246" s="102">
        <f t="shared" si="30"/>
        <v>228</v>
      </c>
      <c r="B246" s="101">
        <f t="shared" si="31"/>
        <v>40</v>
      </c>
      <c r="C246" s="73" t="s">
        <v>81</v>
      </c>
      <c r="D246" s="120" t="s">
        <v>310</v>
      </c>
      <c r="E246" s="123">
        <f t="shared" si="28"/>
        <v>18498158.429174457</v>
      </c>
      <c r="F246" s="107">
        <v>9987277.6916511413</v>
      </c>
      <c r="G246" s="107">
        <v>0</v>
      </c>
      <c r="H246" s="107">
        <v>3500633.098855949</v>
      </c>
      <c r="I246" s="107">
        <v>4233998.4929506173</v>
      </c>
      <c r="J246" s="107">
        <v>0</v>
      </c>
      <c r="K246" s="107"/>
      <c r="L246" s="107">
        <v>380388.55533241422</v>
      </c>
      <c r="M246" s="107">
        <v>0</v>
      </c>
      <c r="N246" s="107">
        <v>0</v>
      </c>
      <c r="O246" s="107">
        <v>0</v>
      </c>
      <c r="P246" s="107">
        <v>0</v>
      </c>
      <c r="Q246" s="107">
        <v>0</v>
      </c>
      <c r="R246" s="107"/>
      <c r="S246" s="108"/>
      <c r="T246" s="145">
        <v>395860.59038433328</v>
      </c>
      <c r="U246" s="23">
        <f t="shared" si="29"/>
        <v>4</v>
      </c>
    </row>
    <row r="247" spans="1:21" x14ac:dyDescent="0.25">
      <c r="A247" s="102">
        <f t="shared" si="30"/>
        <v>229</v>
      </c>
      <c r="B247" s="101">
        <f t="shared" si="31"/>
        <v>41</v>
      </c>
      <c r="C247" s="73" t="s">
        <v>81</v>
      </c>
      <c r="D247" s="120" t="s">
        <v>311</v>
      </c>
      <c r="E247" s="123">
        <f t="shared" si="28"/>
        <v>18345600.889129095</v>
      </c>
      <c r="F247" s="107">
        <v>9904894.5340016168</v>
      </c>
      <c r="G247" s="107">
        <v>0</v>
      </c>
      <c r="H247" s="107">
        <v>3471938.1437459388</v>
      </c>
      <c r="I247" s="107">
        <v>4198901.8708705176</v>
      </c>
      <c r="J247" s="107">
        <v>0</v>
      </c>
      <c r="K247" s="107"/>
      <c r="L247" s="107">
        <v>377270.48148366035</v>
      </c>
      <c r="M247" s="107">
        <v>0</v>
      </c>
      <c r="N247" s="107">
        <v>0</v>
      </c>
      <c r="O247" s="107">
        <v>0</v>
      </c>
      <c r="P247" s="107">
        <v>0</v>
      </c>
      <c r="Q247" s="107">
        <v>0</v>
      </c>
      <c r="R247" s="107"/>
      <c r="S247" s="108"/>
      <c r="T247" s="145">
        <v>392595.8590273626</v>
      </c>
      <c r="U247" s="23">
        <f t="shared" si="29"/>
        <v>4</v>
      </c>
    </row>
    <row r="248" spans="1:21" x14ac:dyDescent="0.25">
      <c r="A248" s="102">
        <f t="shared" si="30"/>
        <v>230</v>
      </c>
      <c r="B248" s="101">
        <f t="shared" si="31"/>
        <v>42</v>
      </c>
      <c r="C248" s="73" t="s">
        <v>81</v>
      </c>
      <c r="D248" s="120" t="s">
        <v>203</v>
      </c>
      <c r="E248" s="123">
        <f t="shared" si="28"/>
        <v>18417459.107653033</v>
      </c>
      <c r="F248" s="107">
        <v>9966368.6576054357</v>
      </c>
      <c r="G248" s="107">
        <v>0</v>
      </c>
      <c r="H248" s="107">
        <v>3475648.0455939346</v>
      </c>
      <c r="I248" s="107">
        <v>4203635.1697849901</v>
      </c>
      <c r="J248" s="107">
        <v>0</v>
      </c>
      <c r="K248" s="107"/>
      <c r="L248" s="107">
        <v>377673.60976489773</v>
      </c>
      <c r="M248" s="107">
        <v>0</v>
      </c>
      <c r="N248" s="107">
        <v>0</v>
      </c>
      <c r="O248" s="107">
        <v>0</v>
      </c>
      <c r="P248" s="107">
        <v>0</v>
      </c>
      <c r="Q248" s="107">
        <v>0</v>
      </c>
      <c r="R248" s="107"/>
      <c r="S248" s="108"/>
      <c r="T248" s="145">
        <v>394133.62490377499</v>
      </c>
      <c r="U248" s="23">
        <f t="shared" si="29"/>
        <v>4</v>
      </c>
    </row>
    <row r="249" spans="1:21" x14ac:dyDescent="0.25">
      <c r="A249" s="102">
        <f t="shared" si="30"/>
        <v>231</v>
      </c>
      <c r="B249" s="101">
        <f t="shared" si="31"/>
        <v>43</v>
      </c>
      <c r="C249" s="73" t="s">
        <v>81</v>
      </c>
      <c r="D249" s="120" t="s">
        <v>312</v>
      </c>
      <c r="E249" s="123">
        <f t="shared" si="28"/>
        <v>10844684.448000001</v>
      </c>
      <c r="F249" s="107"/>
      <c r="G249" s="107"/>
      <c r="H249" s="107"/>
      <c r="I249" s="107"/>
      <c r="J249" s="107"/>
      <c r="K249" s="107"/>
      <c r="L249" s="107"/>
      <c r="M249" s="107"/>
      <c r="N249" s="107"/>
      <c r="O249" s="107">
        <v>9445221.2987233922</v>
      </c>
      <c r="P249" s="107"/>
      <c r="Q249" s="107"/>
      <c r="R249" s="107">
        <v>1084468.4448000002</v>
      </c>
      <c r="S249" s="108">
        <v>108446.84448000001</v>
      </c>
      <c r="T249" s="145">
        <v>206547.85999660802</v>
      </c>
      <c r="U249" s="23"/>
    </row>
    <row r="250" spans="1:21" x14ac:dyDescent="0.25">
      <c r="A250" s="102">
        <f t="shared" si="30"/>
        <v>232</v>
      </c>
      <c r="B250" s="101">
        <f t="shared" si="31"/>
        <v>44</v>
      </c>
      <c r="C250" s="73" t="s">
        <v>81</v>
      </c>
      <c r="D250" s="120" t="s">
        <v>313</v>
      </c>
      <c r="E250" s="123">
        <f t="shared" si="28"/>
        <v>11234559.024000002</v>
      </c>
      <c r="F250" s="107"/>
      <c r="G250" s="107"/>
      <c r="H250" s="107"/>
      <c r="I250" s="107"/>
      <c r="J250" s="107"/>
      <c r="K250" s="107"/>
      <c r="L250" s="107"/>
      <c r="M250" s="107"/>
      <c r="N250" s="107"/>
      <c r="O250" s="107">
        <v>9784784.1201888975</v>
      </c>
      <c r="P250" s="107"/>
      <c r="Q250" s="107"/>
      <c r="R250" s="107">
        <v>1123455.9024000003</v>
      </c>
      <c r="S250" s="108">
        <v>112345.59024000002</v>
      </c>
      <c r="T250" s="145">
        <v>213973.41117110406</v>
      </c>
      <c r="U250" s="23"/>
    </row>
    <row r="251" spans="1:21" x14ac:dyDescent="0.25">
      <c r="A251" s="102">
        <f t="shared" si="30"/>
        <v>233</v>
      </c>
      <c r="B251" s="101">
        <f t="shared" si="31"/>
        <v>45</v>
      </c>
      <c r="C251" s="73" t="s">
        <v>81</v>
      </c>
      <c r="D251" s="120" t="s">
        <v>314</v>
      </c>
      <c r="E251" s="123">
        <f t="shared" si="28"/>
        <v>3985720.2693774602</v>
      </c>
      <c r="F251" s="107">
        <v>0</v>
      </c>
      <c r="G251" s="107">
        <v>0</v>
      </c>
      <c r="H251" s="107">
        <v>927231.11</v>
      </c>
      <c r="I251" s="107">
        <v>2335685.9300000002</v>
      </c>
      <c r="J251" s="107">
        <v>0</v>
      </c>
      <c r="K251" s="107"/>
      <c r="L251" s="107"/>
      <c r="M251" s="107">
        <v>0</v>
      </c>
      <c r="N251" s="107">
        <v>0</v>
      </c>
      <c r="O251" s="107">
        <v>0</v>
      </c>
      <c r="P251" s="107">
        <v>0</v>
      </c>
      <c r="Q251" s="107">
        <v>0</v>
      </c>
      <c r="R251" s="107">
        <v>575687.75556044595</v>
      </c>
      <c r="S251" s="108">
        <v>51240.590709295109</v>
      </c>
      <c r="T251" s="145">
        <v>95874.88310771907</v>
      </c>
      <c r="U251" s="23">
        <f t="shared" ref="U251:U282" si="32">COUNTIF(F251:Q251,"&gt;0")</f>
        <v>2</v>
      </c>
    </row>
    <row r="252" spans="1:21" x14ac:dyDescent="0.25">
      <c r="A252" s="102">
        <f t="shared" si="30"/>
        <v>234</v>
      </c>
      <c r="B252" s="101">
        <f t="shared" si="31"/>
        <v>46</v>
      </c>
      <c r="C252" s="73" t="s">
        <v>81</v>
      </c>
      <c r="D252" s="120" t="s">
        <v>315</v>
      </c>
      <c r="E252" s="123">
        <f t="shared" si="28"/>
        <v>11280046.000319112</v>
      </c>
      <c r="F252" s="107">
        <v>6799089.6135530761</v>
      </c>
      <c r="G252" s="107"/>
      <c r="H252" s="107">
        <v>2042435.9517245644</v>
      </c>
      <c r="I252" s="107">
        <v>1151848.7610665632</v>
      </c>
      <c r="J252" s="107"/>
      <c r="K252" s="107"/>
      <c r="L252" s="107">
        <v>295198.03432807833</v>
      </c>
      <c r="M252" s="107"/>
      <c r="N252" s="107"/>
      <c r="O252" s="107"/>
      <c r="P252" s="107"/>
      <c r="Q252" s="107"/>
      <c r="R252" s="107">
        <v>766483.4</v>
      </c>
      <c r="S252" s="108"/>
      <c r="T252" s="145">
        <v>224990.239646829</v>
      </c>
      <c r="U252" s="23">
        <f t="shared" si="32"/>
        <v>4</v>
      </c>
    </row>
    <row r="253" spans="1:21" x14ac:dyDescent="0.25">
      <c r="A253" s="102">
        <f t="shared" si="30"/>
        <v>235</v>
      </c>
      <c r="B253" s="101">
        <f t="shared" si="31"/>
        <v>47</v>
      </c>
      <c r="C253" s="73" t="s">
        <v>81</v>
      </c>
      <c r="D253" s="120" t="s">
        <v>316</v>
      </c>
      <c r="E253" s="123">
        <f t="shared" si="28"/>
        <v>11736958.542351823</v>
      </c>
      <c r="F253" s="107">
        <v>6602013.7682673624</v>
      </c>
      <c r="G253" s="107"/>
      <c r="H253" s="107"/>
      <c r="I253" s="107"/>
      <c r="J253" s="107">
        <v>0</v>
      </c>
      <c r="K253" s="107"/>
      <c r="L253" s="107">
        <v>293318.25704611279</v>
      </c>
      <c r="M253" s="107">
        <v>0</v>
      </c>
      <c r="N253" s="107">
        <v>0</v>
      </c>
      <c r="O253" s="107">
        <v>4590455.6042320197</v>
      </c>
      <c r="P253" s="107">
        <v>0</v>
      </c>
      <c r="Q253" s="107">
        <v>0</v>
      </c>
      <c r="R253" s="107"/>
      <c r="S253" s="108"/>
      <c r="T253" s="145">
        <v>251170.91280632906</v>
      </c>
      <c r="U253" s="23">
        <f t="shared" si="32"/>
        <v>3</v>
      </c>
    </row>
    <row r="254" spans="1:21" x14ac:dyDescent="0.25">
      <c r="A254" s="102">
        <f t="shared" si="30"/>
        <v>236</v>
      </c>
      <c r="B254" s="101">
        <f t="shared" si="31"/>
        <v>48</v>
      </c>
      <c r="C254" s="73" t="s">
        <v>82</v>
      </c>
      <c r="D254" s="120" t="s">
        <v>297</v>
      </c>
      <c r="E254" s="123">
        <f t="shared" si="28"/>
        <v>17694269.120000001</v>
      </c>
      <c r="F254" s="107">
        <v>17694269.120000001</v>
      </c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8"/>
      <c r="T254" s="145"/>
      <c r="U254" s="23">
        <f t="shared" si="32"/>
        <v>1</v>
      </c>
    </row>
    <row r="255" spans="1:21" x14ac:dyDescent="0.25">
      <c r="A255" s="102">
        <f t="shared" si="30"/>
        <v>237</v>
      </c>
      <c r="B255" s="101">
        <f t="shared" si="31"/>
        <v>49</v>
      </c>
      <c r="C255" s="101" t="s">
        <v>70</v>
      </c>
      <c r="D255" s="120" t="s">
        <v>268</v>
      </c>
      <c r="E255" s="123">
        <f t="shared" si="28"/>
        <v>9483523.7207000013</v>
      </c>
      <c r="F255" s="107">
        <v>0</v>
      </c>
      <c r="G255" s="107">
        <v>0</v>
      </c>
      <c r="H255" s="107">
        <v>0</v>
      </c>
      <c r="I255" s="107">
        <v>0</v>
      </c>
      <c r="J255" s="107">
        <v>0</v>
      </c>
      <c r="K255" s="107"/>
      <c r="L255" s="107"/>
      <c r="M255" s="107">
        <v>0</v>
      </c>
      <c r="N255" s="107">
        <v>0</v>
      </c>
      <c r="O255" s="107">
        <v>0</v>
      </c>
      <c r="P255" s="107">
        <v>9280576.3130770214</v>
      </c>
      <c r="Q255" s="107">
        <v>0</v>
      </c>
      <c r="R255" s="107"/>
      <c r="S255" s="108"/>
      <c r="T255" s="145">
        <v>202947.40762298004</v>
      </c>
      <c r="U255" s="23">
        <f t="shared" si="32"/>
        <v>1</v>
      </c>
    </row>
    <row r="256" spans="1:21" x14ac:dyDescent="0.25">
      <c r="A256" s="102">
        <f t="shared" si="30"/>
        <v>238</v>
      </c>
      <c r="B256" s="101">
        <f t="shared" si="31"/>
        <v>50</v>
      </c>
      <c r="C256" s="73" t="s">
        <v>70</v>
      </c>
      <c r="D256" s="120" t="s">
        <v>265</v>
      </c>
      <c r="E256" s="123">
        <f t="shared" si="28"/>
        <v>18608626.178599998</v>
      </c>
      <c r="F256" s="107">
        <v>0</v>
      </c>
      <c r="G256" s="107">
        <v>0</v>
      </c>
      <c r="H256" s="107">
        <v>0</v>
      </c>
      <c r="I256" s="107">
        <v>0</v>
      </c>
      <c r="J256" s="107">
        <v>0</v>
      </c>
      <c r="K256" s="107"/>
      <c r="L256" s="107"/>
      <c r="M256" s="107">
        <v>0</v>
      </c>
      <c r="N256" s="107">
        <v>0</v>
      </c>
      <c r="O256" s="107">
        <v>0</v>
      </c>
      <c r="P256" s="107">
        <v>18210401.578377958</v>
      </c>
      <c r="Q256" s="107">
        <v>0</v>
      </c>
      <c r="R256" s="107"/>
      <c r="S256" s="108"/>
      <c r="T256" s="145">
        <v>398224.60022203997</v>
      </c>
      <c r="U256" s="23">
        <f t="shared" si="32"/>
        <v>1</v>
      </c>
    </row>
    <row r="257" spans="1:22" x14ac:dyDescent="0.25">
      <c r="A257" s="102">
        <f t="shared" si="30"/>
        <v>239</v>
      </c>
      <c r="B257" s="101">
        <f t="shared" si="31"/>
        <v>51</v>
      </c>
      <c r="C257" s="73" t="s">
        <v>81</v>
      </c>
      <c r="D257" s="120" t="s">
        <v>277</v>
      </c>
      <c r="E257" s="123">
        <f t="shared" si="28"/>
        <v>3609894.245787648</v>
      </c>
      <c r="F257" s="107"/>
      <c r="G257" s="107"/>
      <c r="H257" s="107">
        <v>3532642.5089277923</v>
      </c>
      <c r="I257" s="107"/>
      <c r="J257" s="107"/>
      <c r="K257" s="107"/>
      <c r="L257" s="107"/>
      <c r="M257" s="107">
        <v>0</v>
      </c>
      <c r="N257" s="107"/>
      <c r="O257" s="107">
        <v>0</v>
      </c>
      <c r="P257" s="107">
        <v>0</v>
      </c>
      <c r="Q257" s="107">
        <v>0</v>
      </c>
      <c r="R257" s="107"/>
      <c r="S257" s="108"/>
      <c r="T257" s="145">
        <v>77251.736859855664</v>
      </c>
      <c r="U257" s="23">
        <f t="shared" si="32"/>
        <v>1</v>
      </c>
    </row>
    <row r="258" spans="1:22" x14ac:dyDescent="0.25">
      <c r="A258" s="102">
        <f t="shared" si="30"/>
        <v>240</v>
      </c>
      <c r="B258" s="101">
        <f t="shared" si="31"/>
        <v>52</v>
      </c>
      <c r="C258" s="73" t="s">
        <v>81</v>
      </c>
      <c r="D258" s="120" t="s">
        <v>317</v>
      </c>
      <c r="E258" s="123">
        <f t="shared" si="28"/>
        <v>2085412.7608436176</v>
      </c>
      <c r="F258" s="107"/>
      <c r="G258" s="107">
        <v>0</v>
      </c>
      <c r="H258" s="107">
        <v>1897284.4391391145</v>
      </c>
      <c r="I258" s="107">
        <v>0</v>
      </c>
      <c r="J258" s="107">
        <v>0</v>
      </c>
      <c r="K258" s="107"/>
      <c r="L258" s="107"/>
      <c r="M258" s="107">
        <v>0</v>
      </c>
      <c r="N258" s="107">
        <v>0</v>
      </c>
      <c r="O258" s="107">
        <v>0</v>
      </c>
      <c r="P258" s="107">
        <v>0</v>
      </c>
      <c r="Q258" s="107">
        <v>0</v>
      </c>
      <c r="R258" s="107"/>
      <c r="S258" s="108"/>
      <c r="T258" s="145">
        <v>188128.32170450315</v>
      </c>
      <c r="U258" s="23">
        <f t="shared" si="32"/>
        <v>1</v>
      </c>
    </row>
    <row r="259" spans="1:22" x14ac:dyDescent="0.25">
      <c r="A259" s="102">
        <f t="shared" si="30"/>
        <v>241</v>
      </c>
      <c r="B259" s="101">
        <f t="shared" si="31"/>
        <v>53</v>
      </c>
      <c r="C259" s="73" t="s">
        <v>81</v>
      </c>
      <c r="D259" s="120" t="s">
        <v>318</v>
      </c>
      <c r="E259" s="123">
        <f t="shared" si="28"/>
        <v>19703004.987476178</v>
      </c>
      <c r="F259" s="107">
        <v>0</v>
      </c>
      <c r="G259" s="107">
        <v>0</v>
      </c>
      <c r="H259" s="107">
        <v>0</v>
      </c>
      <c r="I259" s="107">
        <v>0</v>
      </c>
      <c r="J259" s="107">
        <v>0</v>
      </c>
      <c r="K259" s="107"/>
      <c r="L259" s="107"/>
      <c r="M259" s="107">
        <v>0</v>
      </c>
      <c r="N259" s="107">
        <v>0</v>
      </c>
      <c r="O259" s="107">
        <v>0</v>
      </c>
      <c r="P259" s="107">
        <v>19281360.680744186</v>
      </c>
      <c r="Q259" s="107">
        <v>0</v>
      </c>
      <c r="R259" s="107"/>
      <c r="S259" s="107"/>
      <c r="T259" s="145">
        <v>421644.30673199019</v>
      </c>
      <c r="U259" s="23">
        <f t="shared" si="32"/>
        <v>1</v>
      </c>
    </row>
    <row r="260" spans="1:22" x14ac:dyDescent="0.25">
      <c r="A260" s="102">
        <f t="shared" si="30"/>
        <v>242</v>
      </c>
      <c r="B260" s="101">
        <f t="shared" si="31"/>
        <v>54</v>
      </c>
      <c r="C260" s="73" t="s">
        <v>81</v>
      </c>
      <c r="D260" s="120" t="s">
        <v>294</v>
      </c>
      <c r="E260" s="123">
        <f t="shared" si="28"/>
        <v>1521914.1614287239</v>
      </c>
      <c r="F260" s="107"/>
      <c r="G260" s="107">
        <v>0</v>
      </c>
      <c r="H260" s="107">
        <v>0</v>
      </c>
      <c r="I260" s="107">
        <v>1334705.7</v>
      </c>
      <c r="J260" s="107">
        <v>0</v>
      </c>
      <c r="K260" s="107"/>
      <c r="L260" s="107"/>
      <c r="M260" s="107">
        <v>0</v>
      </c>
      <c r="N260" s="107">
        <v>0</v>
      </c>
      <c r="O260" s="107"/>
      <c r="P260" s="107">
        <v>0</v>
      </c>
      <c r="Q260" s="107">
        <v>0</v>
      </c>
      <c r="R260" s="107"/>
      <c r="S260" s="108"/>
      <c r="T260" s="145">
        <v>187208.46142872394</v>
      </c>
      <c r="U260" s="23">
        <f t="shared" si="32"/>
        <v>1</v>
      </c>
    </row>
    <row r="261" spans="1:22" x14ac:dyDescent="0.25">
      <c r="A261" s="102">
        <f t="shared" si="30"/>
        <v>243</v>
      </c>
      <c r="B261" s="101">
        <f t="shared" si="31"/>
        <v>55</v>
      </c>
      <c r="C261" s="73" t="s">
        <v>81</v>
      </c>
      <c r="D261" s="120" t="s">
        <v>226</v>
      </c>
      <c r="E261" s="123">
        <f t="shared" si="28"/>
        <v>7890001.6978085171</v>
      </c>
      <c r="F261" s="107">
        <v>6414391.2079975698</v>
      </c>
      <c r="G261" s="107">
        <v>0</v>
      </c>
      <c r="H261" s="107">
        <v>0</v>
      </c>
      <c r="I261" s="107">
        <v>1211320.4642977021</v>
      </c>
      <c r="J261" s="107">
        <v>0</v>
      </c>
      <c r="K261" s="107"/>
      <c r="L261" s="107"/>
      <c r="M261" s="107">
        <v>0</v>
      </c>
      <c r="N261" s="107">
        <v>0</v>
      </c>
      <c r="O261" s="107"/>
      <c r="P261" s="107">
        <v>0</v>
      </c>
      <c r="Q261" s="107">
        <v>0</v>
      </c>
      <c r="R261" s="107"/>
      <c r="S261" s="108"/>
      <c r="T261" s="145">
        <v>264290.02551324526</v>
      </c>
      <c r="U261" s="23">
        <f t="shared" si="32"/>
        <v>2</v>
      </c>
    </row>
    <row r="262" spans="1:22" x14ac:dyDescent="0.25">
      <c r="A262" s="102">
        <f t="shared" si="30"/>
        <v>244</v>
      </c>
      <c r="B262" s="101">
        <f t="shared" si="31"/>
        <v>56</v>
      </c>
      <c r="C262" s="73" t="s">
        <v>81</v>
      </c>
      <c r="D262" s="120" t="s">
        <v>198</v>
      </c>
      <c r="E262" s="123">
        <f t="shared" si="28"/>
        <v>11172353.687432691</v>
      </c>
      <c r="F262" s="107">
        <v>7789654.8248060504</v>
      </c>
      <c r="G262" s="107">
        <v>0</v>
      </c>
      <c r="H262" s="107">
        <v>0</v>
      </c>
      <c r="I262" s="107">
        <v>3143610.4937155819</v>
      </c>
      <c r="J262" s="107">
        <v>0</v>
      </c>
      <c r="K262" s="107"/>
      <c r="L262" s="107"/>
      <c r="M262" s="107">
        <v>0</v>
      </c>
      <c r="N262" s="107">
        <v>0</v>
      </c>
      <c r="O262" s="107">
        <v>0</v>
      </c>
      <c r="P262" s="107">
        <v>0</v>
      </c>
      <c r="Q262" s="107">
        <v>0</v>
      </c>
      <c r="R262" s="107"/>
      <c r="S262" s="108"/>
      <c r="T262" s="145">
        <v>239088.3689110596</v>
      </c>
      <c r="U262" s="23">
        <f t="shared" si="32"/>
        <v>2</v>
      </c>
    </row>
    <row r="263" spans="1:22" x14ac:dyDescent="0.25">
      <c r="A263" s="102">
        <f t="shared" si="30"/>
        <v>245</v>
      </c>
      <c r="B263" s="101">
        <f t="shared" si="31"/>
        <v>57</v>
      </c>
      <c r="C263" s="73" t="s">
        <v>81</v>
      </c>
      <c r="D263" s="120" t="s">
        <v>319</v>
      </c>
      <c r="E263" s="123">
        <f t="shared" si="28"/>
        <v>12298370.967827702</v>
      </c>
      <c r="F263" s="107">
        <v>8574743.2839111742</v>
      </c>
      <c r="G263" s="107">
        <v>0</v>
      </c>
      <c r="H263" s="107">
        <v>0</v>
      </c>
      <c r="I263" s="107">
        <v>3460442.5452050162</v>
      </c>
      <c r="J263" s="107">
        <v>0</v>
      </c>
      <c r="K263" s="107"/>
      <c r="L263" s="107"/>
      <c r="M263" s="107">
        <v>0</v>
      </c>
      <c r="N263" s="107">
        <v>0</v>
      </c>
      <c r="O263" s="107">
        <v>0</v>
      </c>
      <c r="P263" s="107">
        <v>0</v>
      </c>
      <c r="Q263" s="107">
        <v>0</v>
      </c>
      <c r="R263" s="107"/>
      <c r="S263" s="108"/>
      <c r="T263" s="145">
        <v>263185.13871151285</v>
      </c>
      <c r="U263" s="23">
        <f t="shared" si="32"/>
        <v>2</v>
      </c>
    </row>
    <row r="264" spans="1:22" x14ac:dyDescent="0.25">
      <c r="A264" s="102">
        <f t="shared" si="30"/>
        <v>246</v>
      </c>
      <c r="B264" s="101">
        <f t="shared" si="31"/>
        <v>58</v>
      </c>
      <c r="C264" s="73" t="s">
        <v>81</v>
      </c>
      <c r="D264" s="120" t="s">
        <v>320</v>
      </c>
      <c r="E264" s="123">
        <f t="shared" si="28"/>
        <v>15830114.837610561</v>
      </c>
      <c r="F264" s="107">
        <v>11159574.199489523</v>
      </c>
      <c r="G264" s="107">
        <v>0</v>
      </c>
      <c r="H264" s="107">
        <v>3907208.0564832622</v>
      </c>
      <c r="I264" s="107">
        <v>0</v>
      </c>
      <c r="J264" s="107">
        <v>0</v>
      </c>
      <c r="K264" s="107"/>
      <c r="L264" s="107">
        <v>424568.12411291135</v>
      </c>
      <c r="M264" s="107">
        <v>0</v>
      </c>
      <c r="N264" s="107">
        <v>0</v>
      </c>
      <c r="O264" s="107">
        <v>0</v>
      </c>
      <c r="P264" s="107">
        <v>0</v>
      </c>
      <c r="Q264" s="107">
        <v>0</v>
      </c>
      <c r="R264" s="107"/>
      <c r="S264" s="108"/>
      <c r="T264" s="145">
        <v>338764.45752486604</v>
      </c>
      <c r="U264" s="23">
        <f t="shared" si="32"/>
        <v>3</v>
      </c>
    </row>
    <row r="265" spans="1:22" x14ac:dyDescent="0.25">
      <c r="A265" s="102">
        <f t="shared" si="30"/>
        <v>247</v>
      </c>
      <c r="B265" s="101">
        <f t="shared" si="31"/>
        <v>59</v>
      </c>
      <c r="C265" s="73" t="s">
        <v>51</v>
      </c>
      <c r="D265" s="120" t="s">
        <v>220</v>
      </c>
      <c r="E265" s="123">
        <f t="shared" si="28"/>
        <v>2251512.1387999998</v>
      </c>
      <c r="F265" s="107">
        <v>0</v>
      </c>
      <c r="G265" s="107">
        <v>0</v>
      </c>
      <c r="H265" s="107">
        <v>2203329.77902968</v>
      </c>
      <c r="I265" s="107">
        <v>0</v>
      </c>
      <c r="J265" s="107">
        <v>0</v>
      </c>
      <c r="K265" s="107"/>
      <c r="L265" s="107"/>
      <c r="M265" s="107">
        <v>0</v>
      </c>
      <c r="N265" s="107">
        <v>0</v>
      </c>
      <c r="O265" s="107">
        <v>0</v>
      </c>
      <c r="P265" s="107">
        <v>0</v>
      </c>
      <c r="Q265" s="107">
        <v>0</v>
      </c>
      <c r="R265" s="107"/>
      <c r="S265" s="108"/>
      <c r="T265" s="145">
        <v>48182.359770319999</v>
      </c>
      <c r="U265" s="23">
        <f t="shared" si="32"/>
        <v>1</v>
      </c>
    </row>
    <row r="266" spans="1:22" x14ac:dyDescent="0.25">
      <c r="A266" s="102">
        <f t="shared" si="30"/>
        <v>248</v>
      </c>
      <c r="B266" s="101">
        <f t="shared" si="31"/>
        <v>60</v>
      </c>
      <c r="C266" s="73" t="s">
        <v>51</v>
      </c>
      <c r="D266" s="120" t="s">
        <v>247</v>
      </c>
      <c r="E266" s="123">
        <f t="shared" si="28"/>
        <v>3102944.9011479998</v>
      </c>
      <c r="F266" s="107">
        <v>0</v>
      </c>
      <c r="G266" s="107">
        <v>0</v>
      </c>
      <c r="H266" s="107">
        <v>0</v>
      </c>
      <c r="I266" s="107">
        <v>0</v>
      </c>
      <c r="J266" s="107">
        <v>0</v>
      </c>
      <c r="K266" s="107"/>
      <c r="L266" s="107"/>
      <c r="M266" s="107">
        <v>0</v>
      </c>
      <c r="N266" s="107">
        <v>2608175.2000000002</v>
      </c>
      <c r="O266" s="107">
        <v>0</v>
      </c>
      <c r="P266" s="107">
        <v>0</v>
      </c>
      <c r="Q266" s="107">
        <v>0</v>
      </c>
      <c r="R266" s="107">
        <v>101648.88</v>
      </c>
      <c r="S266" s="107">
        <v>46818</v>
      </c>
      <c r="T266" s="145">
        <v>346302.82114799996</v>
      </c>
      <c r="U266" s="23">
        <f t="shared" si="32"/>
        <v>1</v>
      </c>
      <c r="V266" s="1" t="s">
        <v>146</v>
      </c>
    </row>
    <row r="267" spans="1:22" x14ac:dyDescent="0.25">
      <c r="A267" s="102">
        <f t="shared" si="30"/>
        <v>249</v>
      </c>
      <c r="B267" s="101">
        <f t="shared" si="31"/>
        <v>61</v>
      </c>
      <c r="C267" s="73" t="s">
        <v>51</v>
      </c>
      <c r="D267" s="120" t="s">
        <v>380</v>
      </c>
      <c r="E267" s="123">
        <f t="shared" si="28"/>
        <v>1283744.6199999999</v>
      </c>
      <c r="F267" s="107"/>
      <c r="G267" s="107">
        <v>0</v>
      </c>
      <c r="H267" s="107"/>
      <c r="I267" s="107">
        <v>1020106.99</v>
      </c>
      <c r="J267" s="107">
        <v>0</v>
      </c>
      <c r="K267" s="107"/>
      <c r="L267" s="107"/>
      <c r="M267" s="107">
        <v>0</v>
      </c>
      <c r="N267" s="107"/>
      <c r="O267" s="107">
        <v>0</v>
      </c>
      <c r="P267" s="107">
        <v>0</v>
      </c>
      <c r="Q267" s="107">
        <v>0</v>
      </c>
      <c r="R267" s="107">
        <v>86907.22</v>
      </c>
      <c r="S267" s="108">
        <v>25537.94</v>
      </c>
      <c r="T267" s="145">
        <v>151192.47</v>
      </c>
      <c r="U267" s="23">
        <f t="shared" si="32"/>
        <v>1</v>
      </c>
      <c r="V267" s="1" t="s">
        <v>149</v>
      </c>
    </row>
    <row r="268" spans="1:22" x14ac:dyDescent="0.25">
      <c r="A268" s="102">
        <f t="shared" si="30"/>
        <v>250</v>
      </c>
      <c r="B268" s="101">
        <f t="shared" si="31"/>
        <v>62</v>
      </c>
      <c r="C268" s="73" t="s">
        <v>51</v>
      </c>
      <c r="D268" s="120" t="s">
        <v>384</v>
      </c>
      <c r="E268" s="123">
        <f t="shared" si="28"/>
        <v>5063521.8790189996</v>
      </c>
      <c r="F268" s="144"/>
      <c r="G268" s="107">
        <v>3744858.18609</v>
      </c>
      <c r="H268" s="107"/>
      <c r="I268" s="107"/>
      <c r="J268" s="107"/>
      <c r="K268" s="107"/>
      <c r="L268" s="107"/>
      <c r="M268" s="107">
        <v>0</v>
      </c>
      <c r="N268" s="107"/>
      <c r="O268" s="107"/>
      <c r="P268" s="107"/>
      <c r="Q268" s="107"/>
      <c r="R268" s="107"/>
      <c r="S268" s="108"/>
      <c r="T268" s="145">
        <v>1318663.6929290001</v>
      </c>
      <c r="U268" s="23">
        <f t="shared" si="32"/>
        <v>1</v>
      </c>
      <c r="V268" s="1" t="s">
        <v>147</v>
      </c>
    </row>
    <row r="269" spans="1:22" x14ac:dyDescent="0.25">
      <c r="A269" s="102">
        <f t="shared" si="30"/>
        <v>251</v>
      </c>
      <c r="B269" s="101">
        <f t="shared" si="31"/>
        <v>63</v>
      </c>
      <c r="C269" s="73" t="s">
        <v>51</v>
      </c>
      <c r="D269" s="120" t="s">
        <v>381</v>
      </c>
      <c r="E269" s="123">
        <f t="shared" si="28"/>
        <v>4526101.9687000001</v>
      </c>
      <c r="F269" s="107"/>
      <c r="G269" s="107"/>
      <c r="H269" s="107">
        <v>4429243.3865698203</v>
      </c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8"/>
      <c r="T269" s="145">
        <v>96858.582130180002</v>
      </c>
      <c r="U269" s="23">
        <f t="shared" si="32"/>
        <v>1</v>
      </c>
    </row>
    <row r="270" spans="1:22" x14ac:dyDescent="0.25">
      <c r="A270" s="102">
        <f t="shared" si="30"/>
        <v>252</v>
      </c>
      <c r="B270" s="101">
        <f t="shared" si="31"/>
        <v>64</v>
      </c>
      <c r="C270" s="73" t="s">
        <v>51</v>
      </c>
      <c r="D270" s="120" t="s">
        <v>454</v>
      </c>
      <c r="E270" s="123">
        <f t="shared" si="28"/>
        <v>3657664.2127659055</v>
      </c>
      <c r="F270" s="107">
        <v>0</v>
      </c>
      <c r="G270" s="107">
        <v>0</v>
      </c>
      <c r="H270" s="107">
        <v>0</v>
      </c>
      <c r="I270" s="107">
        <v>0</v>
      </c>
      <c r="J270" s="107">
        <v>0</v>
      </c>
      <c r="K270" s="107"/>
      <c r="L270" s="107"/>
      <c r="M270" s="107">
        <v>0</v>
      </c>
      <c r="N270" s="107">
        <v>3125457.58</v>
      </c>
      <c r="O270" s="107">
        <v>0</v>
      </c>
      <c r="P270" s="107">
        <v>0</v>
      </c>
      <c r="Q270" s="107">
        <v>0</v>
      </c>
      <c r="R270" s="107">
        <v>144246.84530748578</v>
      </c>
      <c r="S270" s="107">
        <f>41549</f>
        <v>41549</v>
      </c>
      <c r="T270" s="145">
        <v>346410.7874584198</v>
      </c>
      <c r="U270" s="23">
        <f t="shared" si="32"/>
        <v>1</v>
      </c>
      <c r="V270" s="1" t="s">
        <v>146</v>
      </c>
    </row>
    <row r="271" spans="1:22" s="34" customFormat="1" x14ac:dyDescent="0.25">
      <c r="A271" s="102">
        <f t="shared" si="30"/>
        <v>253</v>
      </c>
      <c r="B271" s="101">
        <f t="shared" si="31"/>
        <v>65</v>
      </c>
      <c r="C271" s="73" t="s">
        <v>51</v>
      </c>
      <c r="D271" s="120" t="s">
        <v>455</v>
      </c>
      <c r="E271" s="123">
        <f t="shared" ref="E271:E334" si="33">SUBTOTAL(9,F271:T271)</f>
        <v>4680179.74</v>
      </c>
      <c r="F271" s="123">
        <v>3508963.12</v>
      </c>
      <c r="G271" s="123">
        <v>1171216.6200000001</v>
      </c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51"/>
      <c r="U271" s="23">
        <f t="shared" si="32"/>
        <v>2</v>
      </c>
    </row>
    <row r="272" spans="1:22" x14ac:dyDescent="0.25">
      <c r="A272" s="102">
        <f t="shared" ref="A272:B287" si="34">+A271+1</f>
        <v>254</v>
      </c>
      <c r="B272" s="101">
        <f t="shared" si="34"/>
        <v>66</v>
      </c>
      <c r="C272" s="73" t="s">
        <v>51</v>
      </c>
      <c r="D272" s="120" t="s">
        <v>394</v>
      </c>
      <c r="E272" s="123">
        <f t="shared" si="33"/>
        <v>6118734.1876640003</v>
      </c>
      <c r="F272" s="107">
        <v>3199919.31</v>
      </c>
      <c r="G272" s="107">
        <v>1171719.57</v>
      </c>
      <c r="H272" s="107"/>
      <c r="I272" s="107">
        <v>1045267.03</v>
      </c>
      <c r="J272" s="107">
        <v>631577.05000000005</v>
      </c>
      <c r="K272" s="107"/>
      <c r="L272" s="107"/>
      <c r="M272" s="107"/>
      <c r="N272" s="107"/>
      <c r="O272" s="107">
        <v>0</v>
      </c>
      <c r="P272" s="107">
        <v>0</v>
      </c>
      <c r="Q272" s="107">
        <v>0</v>
      </c>
      <c r="R272" s="107"/>
      <c r="S272" s="108"/>
      <c r="T272" s="145">
        <v>70251.227664000005</v>
      </c>
      <c r="U272" s="23">
        <f t="shared" si="32"/>
        <v>4</v>
      </c>
    </row>
    <row r="273" spans="1:22" x14ac:dyDescent="0.25">
      <c r="A273" s="102">
        <f t="shared" si="34"/>
        <v>255</v>
      </c>
      <c r="B273" s="101">
        <f t="shared" si="34"/>
        <v>67</v>
      </c>
      <c r="C273" s="73" t="s">
        <v>51</v>
      </c>
      <c r="D273" s="120" t="s">
        <v>395</v>
      </c>
      <c r="E273" s="123">
        <f t="shared" si="33"/>
        <v>1103844.6695074399</v>
      </c>
      <c r="F273" s="109"/>
      <c r="G273" s="109"/>
      <c r="H273" s="109"/>
      <c r="I273" s="107"/>
      <c r="J273" s="107">
        <v>894502.68789000006</v>
      </c>
      <c r="K273" s="107"/>
      <c r="L273" s="107"/>
      <c r="M273" s="107">
        <v>0</v>
      </c>
      <c r="N273" s="107">
        <v>0</v>
      </c>
      <c r="O273" s="107">
        <v>0</v>
      </c>
      <c r="P273" s="107">
        <v>0</v>
      </c>
      <c r="Q273" s="107">
        <v>0</v>
      </c>
      <c r="R273" s="107"/>
      <c r="S273" s="108"/>
      <c r="T273" s="145">
        <v>209341.98161743997</v>
      </c>
      <c r="U273" s="23">
        <f t="shared" si="32"/>
        <v>1</v>
      </c>
    </row>
    <row r="274" spans="1:22" x14ac:dyDescent="0.25">
      <c r="A274" s="102">
        <f t="shared" si="34"/>
        <v>256</v>
      </c>
      <c r="B274" s="101">
        <f t="shared" si="34"/>
        <v>68</v>
      </c>
      <c r="C274" s="73" t="s">
        <v>51</v>
      </c>
      <c r="D274" s="120" t="s">
        <v>389</v>
      </c>
      <c r="E274" s="123">
        <f t="shared" si="33"/>
        <v>5422423.3145060008</v>
      </c>
      <c r="F274" s="107"/>
      <c r="G274" s="107">
        <v>2634178.6800000002</v>
      </c>
      <c r="H274" s="107">
        <v>1620199.79</v>
      </c>
      <c r="I274" s="144"/>
      <c r="J274" s="107"/>
      <c r="K274" s="107"/>
      <c r="L274" s="107"/>
      <c r="M274" s="107">
        <v>0</v>
      </c>
      <c r="N274" s="107"/>
      <c r="O274" s="107"/>
      <c r="P274" s="107"/>
      <c r="Q274" s="107"/>
      <c r="R274" s="107"/>
      <c r="S274" s="107"/>
      <c r="T274" s="145">
        <v>1168044.8445060002</v>
      </c>
      <c r="U274" s="23">
        <f t="shared" si="32"/>
        <v>2</v>
      </c>
    </row>
    <row r="275" spans="1:22" x14ac:dyDescent="0.25">
      <c r="A275" s="102">
        <f t="shared" si="34"/>
        <v>257</v>
      </c>
      <c r="B275" s="101">
        <f t="shared" si="34"/>
        <v>69</v>
      </c>
      <c r="C275" s="73" t="s">
        <v>51</v>
      </c>
      <c r="D275" s="120" t="s">
        <v>396</v>
      </c>
      <c r="E275" s="123">
        <f t="shared" si="33"/>
        <v>12736306.474216621</v>
      </c>
      <c r="F275" s="107">
        <v>6402530.3799999999</v>
      </c>
      <c r="G275" s="107">
        <v>0</v>
      </c>
      <c r="H275" s="107">
        <v>1227624.8600000001</v>
      </c>
      <c r="I275" s="107"/>
      <c r="J275" s="107">
        <v>0</v>
      </c>
      <c r="K275" s="107"/>
      <c r="L275" s="107"/>
      <c r="M275" s="107">
        <v>0</v>
      </c>
      <c r="N275" s="107">
        <v>4215079.9000000004</v>
      </c>
      <c r="O275" s="107">
        <v>0</v>
      </c>
      <c r="P275" s="107"/>
      <c r="Q275" s="107">
        <v>0</v>
      </c>
      <c r="R275" s="107"/>
      <c r="S275" s="108"/>
      <c r="T275" s="145">
        <v>891071.33421662007</v>
      </c>
      <c r="U275" s="23">
        <f t="shared" si="32"/>
        <v>3</v>
      </c>
      <c r="V275" s="1" t="s">
        <v>146</v>
      </c>
    </row>
    <row r="276" spans="1:22" x14ac:dyDescent="0.25">
      <c r="A276" s="102">
        <f t="shared" si="34"/>
        <v>258</v>
      </c>
      <c r="B276" s="101">
        <f t="shared" si="34"/>
        <v>70</v>
      </c>
      <c r="C276" s="73" t="s">
        <v>51</v>
      </c>
      <c r="D276" s="120" t="s">
        <v>397</v>
      </c>
      <c r="E276" s="123">
        <f t="shared" si="33"/>
        <v>10182899.69749306</v>
      </c>
      <c r="F276" s="107">
        <v>5800678.4200000009</v>
      </c>
      <c r="G276" s="107">
        <v>0</v>
      </c>
      <c r="H276" s="107">
        <v>1815463.98</v>
      </c>
      <c r="I276" s="107">
        <v>2027325.6</v>
      </c>
      <c r="J276" s="107">
        <v>0</v>
      </c>
      <c r="K276" s="107"/>
      <c r="L276" s="107"/>
      <c r="M276" s="107">
        <v>0</v>
      </c>
      <c r="N276" s="107"/>
      <c r="O276" s="107">
        <v>0</v>
      </c>
      <c r="P276" s="107"/>
      <c r="Q276" s="107">
        <v>0</v>
      </c>
      <c r="R276" s="107"/>
      <c r="S276" s="108"/>
      <c r="T276" s="145">
        <v>539431.69749306003</v>
      </c>
      <c r="U276" s="23">
        <f t="shared" si="32"/>
        <v>3</v>
      </c>
    </row>
    <row r="277" spans="1:22" x14ac:dyDescent="0.25">
      <c r="A277" s="102">
        <f t="shared" si="34"/>
        <v>259</v>
      </c>
      <c r="B277" s="101">
        <f t="shared" si="34"/>
        <v>71</v>
      </c>
      <c r="C277" s="73" t="s">
        <v>51</v>
      </c>
      <c r="D277" s="120" t="s">
        <v>398</v>
      </c>
      <c r="E277" s="123">
        <f t="shared" si="33"/>
        <v>12718244.725879181</v>
      </c>
      <c r="F277" s="107">
        <v>4667209.49</v>
      </c>
      <c r="G277" s="107">
        <v>0</v>
      </c>
      <c r="H277" s="107">
        <v>2134044.9699999997</v>
      </c>
      <c r="I277" s="107">
        <v>2553079.61</v>
      </c>
      <c r="J277" s="107"/>
      <c r="K277" s="107"/>
      <c r="L277" s="107"/>
      <c r="M277" s="107">
        <v>0</v>
      </c>
      <c r="N277" s="107"/>
      <c r="O277" s="107">
        <v>0</v>
      </c>
      <c r="P277" s="107"/>
      <c r="Q277" s="107">
        <v>0</v>
      </c>
      <c r="R277" s="107">
        <v>2550189.8570000003</v>
      </c>
      <c r="S277" s="108">
        <v>278424.56929999997</v>
      </c>
      <c r="T277" s="145">
        <v>535296.22957918001</v>
      </c>
      <c r="U277" s="23">
        <f t="shared" si="32"/>
        <v>3</v>
      </c>
      <c r="V277" s="1" t="s">
        <v>146</v>
      </c>
    </row>
    <row r="278" spans="1:22" x14ac:dyDescent="0.25">
      <c r="A278" s="102">
        <f t="shared" si="34"/>
        <v>260</v>
      </c>
      <c r="B278" s="101">
        <f t="shared" si="34"/>
        <v>72</v>
      </c>
      <c r="C278" s="73" t="s">
        <v>51</v>
      </c>
      <c r="D278" s="120" t="s">
        <v>399</v>
      </c>
      <c r="E278" s="123">
        <f t="shared" si="33"/>
        <v>7108581.8518827204</v>
      </c>
      <c r="F278" s="107">
        <v>3329933.36</v>
      </c>
      <c r="G278" s="107">
        <v>1569993.34</v>
      </c>
      <c r="H278" s="107">
        <v>882116.62</v>
      </c>
      <c r="I278" s="107">
        <v>903642.16</v>
      </c>
      <c r="J278" s="107">
        <v>0</v>
      </c>
      <c r="K278" s="107"/>
      <c r="L278" s="107"/>
      <c r="M278" s="107">
        <v>0</v>
      </c>
      <c r="N278" s="107">
        <v>0</v>
      </c>
      <c r="O278" s="107">
        <v>0</v>
      </c>
      <c r="P278" s="107"/>
      <c r="Q278" s="107">
        <v>0</v>
      </c>
      <c r="R278" s="107"/>
      <c r="S278" s="108"/>
      <c r="T278" s="145">
        <v>422896.37188271998</v>
      </c>
      <c r="U278" s="23">
        <f t="shared" si="32"/>
        <v>4</v>
      </c>
    </row>
    <row r="279" spans="1:22" x14ac:dyDescent="0.25">
      <c r="A279" s="102">
        <f t="shared" si="34"/>
        <v>261</v>
      </c>
      <c r="B279" s="101">
        <f t="shared" si="34"/>
        <v>73</v>
      </c>
      <c r="C279" s="73" t="s">
        <v>51</v>
      </c>
      <c r="D279" s="120" t="s">
        <v>456</v>
      </c>
      <c r="E279" s="123">
        <f t="shared" si="33"/>
        <v>1069515.91491576</v>
      </c>
      <c r="F279" s="107">
        <v>0</v>
      </c>
      <c r="G279" s="107">
        <v>0</v>
      </c>
      <c r="H279" s="107">
        <v>0</v>
      </c>
      <c r="I279" s="107">
        <v>0</v>
      </c>
      <c r="J279" s="107">
        <v>1043888.04</v>
      </c>
      <c r="K279" s="107"/>
      <c r="L279" s="107"/>
      <c r="M279" s="107">
        <v>0</v>
      </c>
      <c r="N279" s="107">
        <v>0</v>
      </c>
      <c r="O279" s="107">
        <v>0</v>
      </c>
      <c r="P279" s="107">
        <v>0</v>
      </c>
      <c r="Q279" s="107">
        <v>0</v>
      </c>
      <c r="R279" s="107"/>
      <c r="S279" s="108"/>
      <c r="T279" s="145">
        <v>25627.874915760007</v>
      </c>
      <c r="U279" s="23">
        <f t="shared" si="32"/>
        <v>1</v>
      </c>
    </row>
    <row r="280" spans="1:22" x14ac:dyDescent="0.25">
      <c r="A280" s="102">
        <f t="shared" si="34"/>
        <v>262</v>
      </c>
      <c r="B280" s="101">
        <f t="shared" si="34"/>
        <v>74</v>
      </c>
      <c r="C280" s="73" t="s">
        <v>51</v>
      </c>
      <c r="D280" s="120" t="s">
        <v>457</v>
      </c>
      <c r="E280" s="123">
        <f t="shared" si="33"/>
        <v>1137882.68042862</v>
      </c>
      <c r="F280" s="107">
        <v>0</v>
      </c>
      <c r="G280" s="107">
        <v>0</v>
      </c>
      <c r="H280" s="107">
        <v>0</v>
      </c>
      <c r="I280" s="107">
        <v>0</v>
      </c>
      <c r="J280" s="107">
        <v>1112510.52</v>
      </c>
      <c r="K280" s="107"/>
      <c r="L280" s="107"/>
      <c r="M280" s="107">
        <v>0</v>
      </c>
      <c r="N280" s="107">
        <v>0</v>
      </c>
      <c r="O280" s="107">
        <v>0</v>
      </c>
      <c r="P280" s="107">
        <v>0</v>
      </c>
      <c r="Q280" s="107">
        <v>0</v>
      </c>
      <c r="R280" s="107"/>
      <c r="S280" s="108"/>
      <c r="T280" s="145">
        <v>25372.160428620005</v>
      </c>
      <c r="U280" s="23">
        <f t="shared" si="32"/>
        <v>1</v>
      </c>
    </row>
    <row r="281" spans="1:22" x14ac:dyDescent="0.25">
      <c r="A281" s="102">
        <f t="shared" si="34"/>
        <v>263</v>
      </c>
      <c r="B281" s="101">
        <f t="shared" si="34"/>
        <v>75</v>
      </c>
      <c r="C281" s="73" t="s">
        <v>51</v>
      </c>
      <c r="D281" s="120" t="s">
        <v>458</v>
      </c>
      <c r="E281" s="123">
        <f t="shared" si="33"/>
        <v>1319013.2964199998</v>
      </c>
      <c r="F281" s="107">
        <v>0</v>
      </c>
      <c r="G281" s="107">
        <v>0</v>
      </c>
      <c r="H281" s="107">
        <v>0</v>
      </c>
      <c r="I281" s="107">
        <v>0</v>
      </c>
      <c r="J281" s="107">
        <v>1314097.3999999999</v>
      </c>
      <c r="K281" s="107"/>
      <c r="L281" s="107"/>
      <c r="M281" s="107">
        <v>0</v>
      </c>
      <c r="N281" s="107">
        <v>0</v>
      </c>
      <c r="O281" s="107">
        <v>0</v>
      </c>
      <c r="P281" s="107">
        <v>0</v>
      </c>
      <c r="Q281" s="107"/>
      <c r="R281" s="107"/>
      <c r="S281" s="108"/>
      <c r="T281" s="145">
        <v>4915.89642</v>
      </c>
      <c r="U281" s="23">
        <f t="shared" si="32"/>
        <v>1</v>
      </c>
    </row>
    <row r="282" spans="1:22" x14ac:dyDescent="0.25">
      <c r="A282" s="102">
        <f t="shared" si="34"/>
        <v>264</v>
      </c>
      <c r="B282" s="101">
        <f t="shared" si="34"/>
        <v>76</v>
      </c>
      <c r="C282" s="73" t="s">
        <v>51</v>
      </c>
      <c r="D282" s="120" t="s">
        <v>459</v>
      </c>
      <c r="E282" s="123">
        <f t="shared" si="33"/>
        <v>5459436.29</v>
      </c>
      <c r="F282" s="107"/>
      <c r="G282" s="107">
        <v>5131838.1197179221</v>
      </c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>
        <v>191375.2643328</v>
      </c>
      <c r="S282" s="108">
        <v>24000</v>
      </c>
      <c r="T282" s="145">
        <v>112222.90594927808</v>
      </c>
      <c r="U282" s="23">
        <f t="shared" si="32"/>
        <v>1</v>
      </c>
    </row>
    <row r="283" spans="1:22" x14ac:dyDescent="0.25">
      <c r="A283" s="102">
        <f t="shared" si="34"/>
        <v>265</v>
      </c>
      <c r="B283" s="101">
        <f t="shared" si="34"/>
        <v>77</v>
      </c>
      <c r="C283" s="73" t="s">
        <v>51</v>
      </c>
      <c r="D283" s="120" t="s">
        <v>460</v>
      </c>
      <c r="E283" s="123">
        <f t="shared" si="33"/>
        <v>3841382.1100000003</v>
      </c>
      <c r="F283" s="107"/>
      <c r="G283" s="107">
        <v>3569615.4462360675</v>
      </c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>
        <v>169706.40364800001</v>
      </c>
      <c r="S283" s="108">
        <v>24000</v>
      </c>
      <c r="T283" s="145">
        <v>78060.26011593279</v>
      </c>
      <c r="U283" s="23">
        <f t="shared" ref="U283:U314" si="35">COUNTIF(F283:Q283,"&gt;0")</f>
        <v>1</v>
      </c>
    </row>
    <row r="284" spans="1:22" x14ac:dyDescent="0.25">
      <c r="A284" s="102">
        <f t="shared" si="34"/>
        <v>266</v>
      </c>
      <c r="B284" s="101">
        <f t="shared" si="34"/>
        <v>78</v>
      </c>
      <c r="C284" s="73" t="s">
        <v>51</v>
      </c>
      <c r="D284" s="120" t="s">
        <v>461</v>
      </c>
      <c r="E284" s="123">
        <f t="shared" si="33"/>
        <v>1998837.3649560001</v>
      </c>
      <c r="F284" s="107">
        <v>0</v>
      </c>
      <c r="G284" s="107">
        <v>0</v>
      </c>
      <c r="H284" s="107">
        <v>0</v>
      </c>
      <c r="I284" s="107">
        <v>0</v>
      </c>
      <c r="J284" s="107">
        <v>1990543.04</v>
      </c>
      <c r="K284" s="107"/>
      <c r="L284" s="107"/>
      <c r="M284" s="107">
        <v>0</v>
      </c>
      <c r="N284" s="107">
        <v>0</v>
      </c>
      <c r="O284" s="107">
        <v>0</v>
      </c>
      <c r="P284" s="107"/>
      <c r="Q284" s="107"/>
      <c r="R284" s="107"/>
      <c r="S284" s="108"/>
      <c r="T284" s="145">
        <v>8294.3249559999986</v>
      </c>
      <c r="U284" s="23">
        <f t="shared" si="35"/>
        <v>1</v>
      </c>
    </row>
    <row r="285" spans="1:22" x14ac:dyDescent="0.25">
      <c r="A285" s="102">
        <f t="shared" si="34"/>
        <v>267</v>
      </c>
      <c r="B285" s="101">
        <f t="shared" si="34"/>
        <v>79</v>
      </c>
      <c r="C285" s="73" t="s">
        <v>51</v>
      </c>
      <c r="D285" s="120" t="s">
        <v>462</v>
      </c>
      <c r="E285" s="123">
        <f t="shared" si="33"/>
        <v>10674924.839939507</v>
      </c>
      <c r="F285" s="107">
        <v>10082885.3290445</v>
      </c>
      <c r="G285" s="107">
        <v>0</v>
      </c>
      <c r="H285" s="107">
        <v>0</v>
      </c>
      <c r="I285" s="107">
        <v>0</v>
      </c>
      <c r="J285" s="107">
        <v>0</v>
      </c>
      <c r="K285" s="107"/>
      <c r="L285" s="107">
        <v>363596.11932030058</v>
      </c>
      <c r="M285" s="107">
        <v>0</v>
      </c>
      <c r="N285" s="107"/>
      <c r="O285" s="107">
        <v>0</v>
      </c>
      <c r="P285" s="107"/>
      <c r="Q285" s="107">
        <v>0</v>
      </c>
      <c r="R285" s="107"/>
      <c r="S285" s="108"/>
      <c r="T285" s="145">
        <v>228443.39157470543</v>
      </c>
      <c r="U285" s="23">
        <f t="shared" si="35"/>
        <v>2</v>
      </c>
    </row>
    <row r="286" spans="1:22" x14ac:dyDescent="0.25">
      <c r="A286" s="102">
        <f t="shared" si="34"/>
        <v>268</v>
      </c>
      <c r="B286" s="101">
        <f t="shared" si="34"/>
        <v>80</v>
      </c>
      <c r="C286" s="73" t="s">
        <v>51</v>
      </c>
      <c r="D286" s="120" t="s">
        <v>463</v>
      </c>
      <c r="E286" s="123">
        <f t="shared" si="33"/>
        <v>9641868.1699999999</v>
      </c>
      <c r="F286" s="107"/>
      <c r="G286" s="107"/>
      <c r="H286" s="107"/>
      <c r="I286" s="107"/>
      <c r="J286" s="107"/>
      <c r="K286" s="107"/>
      <c r="L286" s="107"/>
      <c r="M286" s="107">
        <v>0</v>
      </c>
      <c r="N286" s="107">
        <v>0</v>
      </c>
      <c r="O286" s="107">
        <v>0</v>
      </c>
      <c r="P286" s="107">
        <v>0</v>
      </c>
      <c r="Q286" s="107">
        <v>8397623.6501341797</v>
      </c>
      <c r="R286" s="107">
        <v>964186.81700000004</v>
      </c>
      <c r="S286" s="108">
        <v>96418.681700000001</v>
      </c>
      <c r="T286" s="145">
        <v>183639.02116581998</v>
      </c>
      <c r="U286" s="23">
        <f t="shared" si="35"/>
        <v>1</v>
      </c>
    </row>
    <row r="287" spans="1:22" x14ac:dyDescent="0.25">
      <c r="A287" s="102">
        <f t="shared" si="34"/>
        <v>269</v>
      </c>
      <c r="B287" s="101">
        <f t="shared" si="34"/>
        <v>81</v>
      </c>
      <c r="C287" s="73" t="s">
        <v>51</v>
      </c>
      <c r="D287" s="120" t="s">
        <v>402</v>
      </c>
      <c r="E287" s="123">
        <f t="shared" si="33"/>
        <v>12464372.530428801</v>
      </c>
      <c r="F287" s="107"/>
      <c r="G287" s="107">
        <v>5233500.26</v>
      </c>
      <c r="H287" s="107">
        <v>2299005.9700000002</v>
      </c>
      <c r="I287" s="107">
        <v>4120193.64</v>
      </c>
      <c r="J287" s="107"/>
      <c r="K287" s="107"/>
      <c r="L287" s="107"/>
      <c r="M287" s="107">
        <v>0</v>
      </c>
      <c r="N287" s="107">
        <v>0</v>
      </c>
      <c r="O287" s="107">
        <v>0</v>
      </c>
      <c r="P287" s="107">
        <v>0</v>
      </c>
      <c r="Q287" s="107"/>
      <c r="R287" s="107"/>
      <c r="S287" s="108"/>
      <c r="T287" s="145">
        <v>811672.66042880015</v>
      </c>
      <c r="U287" s="23">
        <f t="shared" si="35"/>
        <v>3</v>
      </c>
      <c r="V287" s="1" t="s">
        <v>149</v>
      </c>
    </row>
    <row r="288" spans="1:22" x14ac:dyDescent="0.25">
      <c r="A288" s="102">
        <f t="shared" ref="A288:B303" si="36">+A287+1</f>
        <v>270</v>
      </c>
      <c r="B288" s="101">
        <f t="shared" si="36"/>
        <v>82</v>
      </c>
      <c r="C288" s="73" t="s">
        <v>51</v>
      </c>
      <c r="D288" s="120" t="s">
        <v>464</v>
      </c>
      <c r="E288" s="123">
        <f t="shared" si="33"/>
        <v>2005001.28</v>
      </c>
      <c r="F288" s="107">
        <v>0</v>
      </c>
      <c r="G288" s="107">
        <v>0</v>
      </c>
      <c r="H288" s="107">
        <v>0</v>
      </c>
      <c r="I288" s="107">
        <v>0</v>
      </c>
      <c r="J288" s="107">
        <v>1990601.96</v>
      </c>
      <c r="K288" s="107"/>
      <c r="L288" s="107"/>
      <c r="M288" s="107">
        <v>0</v>
      </c>
      <c r="N288" s="107">
        <v>0</v>
      </c>
      <c r="O288" s="107">
        <v>0</v>
      </c>
      <c r="P288" s="107">
        <v>0</v>
      </c>
      <c r="Q288" s="107">
        <v>0</v>
      </c>
      <c r="R288" s="107"/>
      <c r="S288" s="108"/>
      <c r="T288" s="145">
        <v>14399.32</v>
      </c>
      <c r="U288" s="23">
        <f t="shared" si="35"/>
        <v>1</v>
      </c>
    </row>
    <row r="289" spans="1:22" x14ac:dyDescent="0.25">
      <c r="A289" s="102">
        <f t="shared" si="36"/>
        <v>271</v>
      </c>
      <c r="B289" s="101">
        <f t="shared" si="36"/>
        <v>83</v>
      </c>
      <c r="C289" s="73" t="s">
        <v>51</v>
      </c>
      <c r="D289" s="120" t="s">
        <v>403</v>
      </c>
      <c r="E289" s="123">
        <f t="shared" si="33"/>
        <v>1363080.4118900001</v>
      </c>
      <c r="F289" s="107">
        <v>0</v>
      </c>
      <c r="G289" s="107">
        <v>0</v>
      </c>
      <c r="H289" s="107">
        <v>0</v>
      </c>
      <c r="I289" s="107">
        <v>0</v>
      </c>
      <c r="J289" s="107">
        <v>1356671.24</v>
      </c>
      <c r="K289" s="107"/>
      <c r="L289" s="107"/>
      <c r="M289" s="107">
        <v>0</v>
      </c>
      <c r="N289" s="107">
        <v>0</v>
      </c>
      <c r="O289" s="107">
        <v>0</v>
      </c>
      <c r="P289" s="107"/>
      <c r="Q289" s="107">
        <v>0</v>
      </c>
      <c r="R289" s="107"/>
      <c r="S289" s="108"/>
      <c r="T289" s="145">
        <v>6409.1718899999996</v>
      </c>
      <c r="U289" s="23">
        <f t="shared" si="35"/>
        <v>1</v>
      </c>
    </row>
    <row r="290" spans="1:22" x14ac:dyDescent="0.25">
      <c r="A290" s="102">
        <f t="shared" si="36"/>
        <v>272</v>
      </c>
      <c r="B290" s="101">
        <f t="shared" si="36"/>
        <v>84</v>
      </c>
      <c r="C290" s="73" t="s">
        <v>51</v>
      </c>
      <c r="D290" s="120" t="s">
        <v>465</v>
      </c>
      <c r="E290" s="123">
        <f t="shared" si="33"/>
        <v>7294260.8670106996</v>
      </c>
      <c r="F290" s="107">
        <v>5775011.7999999998</v>
      </c>
      <c r="G290" s="107">
        <v>0</v>
      </c>
      <c r="H290" s="107">
        <v>0</v>
      </c>
      <c r="I290" s="107">
        <v>0</v>
      </c>
      <c r="J290" s="107"/>
      <c r="K290" s="107"/>
      <c r="L290" s="107"/>
      <c r="M290" s="107">
        <v>0</v>
      </c>
      <c r="N290" s="107">
        <v>0</v>
      </c>
      <c r="O290" s="107">
        <v>0</v>
      </c>
      <c r="P290" s="107">
        <v>0</v>
      </c>
      <c r="Q290" s="107">
        <v>0</v>
      </c>
      <c r="R290" s="107">
        <v>1233787.3953999998</v>
      </c>
      <c r="S290" s="108">
        <v>100001.5141</v>
      </c>
      <c r="T290" s="145">
        <v>185460.15751070005</v>
      </c>
      <c r="U290" s="23">
        <f t="shared" si="35"/>
        <v>1</v>
      </c>
      <c r="V290" s="1" t="s">
        <v>149</v>
      </c>
    </row>
    <row r="291" spans="1:22" x14ac:dyDescent="0.25">
      <c r="A291" s="102">
        <f t="shared" si="36"/>
        <v>273</v>
      </c>
      <c r="B291" s="101">
        <f t="shared" si="36"/>
        <v>85</v>
      </c>
      <c r="C291" s="73" t="s">
        <v>51</v>
      </c>
      <c r="D291" s="120" t="s">
        <v>466</v>
      </c>
      <c r="E291" s="123">
        <f t="shared" si="33"/>
        <v>30038627.562941588</v>
      </c>
      <c r="F291" s="107">
        <v>0</v>
      </c>
      <c r="G291" s="107">
        <v>2812958.6787006906</v>
      </c>
      <c r="H291" s="107"/>
      <c r="I291" s="107"/>
      <c r="J291" s="107">
        <v>1471946.54</v>
      </c>
      <c r="K291" s="107"/>
      <c r="L291" s="107"/>
      <c r="M291" s="107">
        <v>0</v>
      </c>
      <c r="N291" s="107">
        <v>0</v>
      </c>
      <c r="O291" s="107">
        <v>0</v>
      </c>
      <c r="P291" s="107">
        <v>25094924.378064241</v>
      </c>
      <c r="Q291" s="107">
        <v>0</v>
      </c>
      <c r="R291" s="107"/>
      <c r="S291" s="108"/>
      <c r="T291" s="145">
        <f>555416.30026576+103381.6659109</f>
        <v>658797.96617666003</v>
      </c>
      <c r="U291" s="23">
        <f t="shared" si="35"/>
        <v>3</v>
      </c>
    </row>
    <row r="292" spans="1:22" x14ac:dyDescent="0.25">
      <c r="A292" s="102">
        <f t="shared" si="36"/>
        <v>274</v>
      </c>
      <c r="B292" s="101">
        <f t="shared" si="36"/>
        <v>86</v>
      </c>
      <c r="C292" s="73" t="s">
        <v>51</v>
      </c>
      <c r="D292" s="120" t="s">
        <v>409</v>
      </c>
      <c r="E292" s="123">
        <f t="shared" si="33"/>
        <v>18165337.9167738</v>
      </c>
      <c r="F292" s="107"/>
      <c r="G292" s="107"/>
      <c r="H292" s="144">
        <v>4113294.16</v>
      </c>
      <c r="I292" s="107"/>
      <c r="J292" s="107"/>
      <c r="K292" s="107"/>
      <c r="L292" s="107"/>
      <c r="M292" s="107">
        <v>0</v>
      </c>
      <c r="N292" s="107"/>
      <c r="O292" s="107">
        <v>0</v>
      </c>
      <c r="P292" s="107"/>
      <c r="Q292" s="107">
        <v>13661056.57</v>
      </c>
      <c r="R292" s="107"/>
      <c r="S292" s="108"/>
      <c r="T292" s="145">
        <v>390987.18677379994</v>
      </c>
      <c r="U292" s="23">
        <f t="shared" si="35"/>
        <v>2</v>
      </c>
      <c r="V292" s="1" t="s">
        <v>146</v>
      </c>
    </row>
    <row r="293" spans="1:22" x14ac:dyDescent="0.25">
      <c r="A293" s="102">
        <f t="shared" si="36"/>
        <v>275</v>
      </c>
      <c r="B293" s="101">
        <f t="shared" si="36"/>
        <v>87</v>
      </c>
      <c r="C293" s="73" t="s">
        <v>51</v>
      </c>
      <c r="D293" s="120" t="s">
        <v>171</v>
      </c>
      <c r="E293" s="123">
        <f t="shared" si="33"/>
        <v>12818538.9</v>
      </c>
      <c r="F293" s="107">
        <v>0</v>
      </c>
      <c r="G293" s="107">
        <v>0</v>
      </c>
      <c r="H293" s="107">
        <v>0</v>
      </c>
      <c r="I293" s="107">
        <v>0</v>
      </c>
      <c r="J293" s="107">
        <v>0</v>
      </c>
      <c r="K293" s="107"/>
      <c r="L293" s="107"/>
      <c r="M293" s="107">
        <v>0</v>
      </c>
      <c r="N293" s="107">
        <v>0</v>
      </c>
      <c r="O293" s="107">
        <v>0</v>
      </c>
      <c r="P293" s="107">
        <v>0</v>
      </c>
      <c r="Q293" s="107">
        <v>12345202.504488003</v>
      </c>
      <c r="R293" s="107">
        <v>155875.03</v>
      </c>
      <c r="S293" s="107">
        <f>47496.79</f>
        <v>47496.79</v>
      </c>
      <c r="T293" s="145">
        <v>269964.57551200007</v>
      </c>
      <c r="U293" s="23">
        <f t="shared" si="35"/>
        <v>1</v>
      </c>
    </row>
    <row r="294" spans="1:22" x14ac:dyDescent="0.25">
      <c r="A294" s="102">
        <f t="shared" si="36"/>
        <v>276</v>
      </c>
      <c r="B294" s="101">
        <f t="shared" si="36"/>
        <v>88</v>
      </c>
      <c r="C294" s="73" t="s">
        <v>51</v>
      </c>
      <c r="D294" s="120" t="s">
        <v>172</v>
      </c>
      <c r="E294" s="123">
        <f t="shared" si="33"/>
        <v>15974969.295365319</v>
      </c>
      <c r="F294" s="107">
        <v>6546503.21</v>
      </c>
      <c r="G294" s="107">
        <v>2315850.2599999998</v>
      </c>
      <c r="H294" s="107"/>
      <c r="I294" s="107"/>
      <c r="J294" s="107"/>
      <c r="K294" s="107"/>
      <c r="L294" s="107"/>
      <c r="M294" s="107"/>
      <c r="N294" s="107">
        <v>6974369.0800000001</v>
      </c>
      <c r="O294" s="107">
        <v>0</v>
      </c>
      <c r="P294" s="107">
        <v>0</v>
      </c>
      <c r="Q294" s="107">
        <v>0</v>
      </c>
      <c r="R294" s="107"/>
      <c r="S294" s="108"/>
      <c r="T294" s="145">
        <v>138246.74536532001</v>
      </c>
      <c r="U294" s="23">
        <f t="shared" si="35"/>
        <v>3</v>
      </c>
    </row>
    <row r="295" spans="1:22" x14ac:dyDescent="0.25">
      <c r="A295" s="102">
        <f t="shared" si="36"/>
        <v>277</v>
      </c>
      <c r="B295" s="101">
        <f t="shared" si="36"/>
        <v>89</v>
      </c>
      <c r="C295" s="73" t="s">
        <v>51</v>
      </c>
      <c r="D295" s="120" t="s">
        <v>237</v>
      </c>
      <c r="E295" s="123">
        <f t="shared" si="33"/>
        <v>8773415.9399999995</v>
      </c>
      <c r="F295" s="107">
        <v>8773415.9399999995</v>
      </c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45"/>
      <c r="U295" s="23">
        <f t="shared" si="35"/>
        <v>1</v>
      </c>
      <c r="V295" s="1" t="s">
        <v>160</v>
      </c>
    </row>
    <row r="296" spans="1:22" x14ac:dyDescent="0.25">
      <c r="A296" s="102">
        <f t="shared" si="36"/>
        <v>278</v>
      </c>
      <c r="B296" s="101">
        <f t="shared" si="36"/>
        <v>90</v>
      </c>
      <c r="C296" s="73" t="s">
        <v>51</v>
      </c>
      <c r="D296" s="120" t="s">
        <v>467</v>
      </c>
      <c r="E296" s="123">
        <f t="shared" si="33"/>
        <v>27557769.723289579</v>
      </c>
      <c r="F296" s="107"/>
      <c r="G296" s="107"/>
      <c r="H296" s="107"/>
      <c r="I296" s="107"/>
      <c r="J296" s="107">
        <v>949732.79447620141</v>
      </c>
      <c r="K296" s="107"/>
      <c r="L296" s="107">
        <v>0</v>
      </c>
      <c r="M296" s="107">
        <v>0</v>
      </c>
      <c r="N296" s="107">
        <v>12209113.6236846</v>
      </c>
      <c r="O296" s="107">
        <v>0</v>
      </c>
      <c r="P296" s="107">
        <v>6321352.9122516997</v>
      </c>
      <c r="Q296" s="107">
        <v>6818312.1307106828</v>
      </c>
      <c r="R296" s="107">
        <v>684163.08</v>
      </c>
      <c r="S296" s="107"/>
      <c r="T296" s="145">
        <v>575095.18216639699</v>
      </c>
      <c r="U296" s="23">
        <f t="shared" si="35"/>
        <v>4</v>
      </c>
    </row>
    <row r="297" spans="1:22" x14ac:dyDescent="0.25">
      <c r="A297" s="102">
        <f t="shared" si="36"/>
        <v>279</v>
      </c>
      <c r="B297" s="101">
        <f t="shared" si="36"/>
        <v>91</v>
      </c>
      <c r="C297" s="73" t="s">
        <v>51</v>
      </c>
      <c r="D297" s="120" t="s">
        <v>468</v>
      </c>
      <c r="E297" s="123">
        <f t="shared" si="33"/>
        <v>26132279.709870167</v>
      </c>
      <c r="F297" s="107"/>
      <c r="G297" s="107"/>
      <c r="H297" s="107"/>
      <c r="I297" s="107"/>
      <c r="J297" s="107">
        <v>863761.78615712165</v>
      </c>
      <c r="K297" s="107"/>
      <c r="L297" s="107">
        <v>0</v>
      </c>
      <c r="M297" s="107">
        <v>0</v>
      </c>
      <c r="N297" s="107">
        <v>12089519.128083602</v>
      </c>
      <c r="O297" s="107">
        <v>0</v>
      </c>
      <c r="P297" s="107">
        <v>5749136.0877218517</v>
      </c>
      <c r="Q297" s="107">
        <v>6201109.93202837</v>
      </c>
      <c r="R297" s="107">
        <v>684163.08</v>
      </c>
      <c r="S297" s="107"/>
      <c r="T297" s="145">
        <v>544589.69587922154</v>
      </c>
      <c r="U297" s="23">
        <f t="shared" si="35"/>
        <v>4</v>
      </c>
    </row>
    <row r="298" spans="1:22" x14ac:dyDescent="0.25">
      <c r="A298" s="102">
        <f t="shared" si="36"/>
        <v>280</v>
      </c>
      <c r="B298" s="101">
        <f t="shared" si="36"/>
        <v>92</v>
      </c>
      <c r="C298" s="73" t="s">
        <v>51</v>
      </c>
      <c r="D298" s="120" t="s">
        <v>469</v>
      </c>
      <c r="E298" s="123">
        <f t="shared" si="33"/>
        <v>51364810.400115289</v>
      </c>
      <c r="F298" s="107">
        <v>6144729.9015154075</v>
      </c>
      <c r="G298" s="107">
        <v>3579457.7618007269</v>
      </c>
      <c r="H298" s="107">
        <v>3887139.10374681</v>
      </c>
      <c r="I298" s="107">
        <v>2975701.9584087268</v>
      </c>
      <c r="J298" s="107">
        <v>1375468.2230831808</v>
      </c>
      <c r="K298" s="107"/>
      <c r="L298" s="107">
        <v>292698.95808608586</v>
      </c>
      <c r="M298" s="107"/>
      <c r="N298" s="107"/>
      <c r="O298" s="107"/>
      <c r="P298" s="107">
        <v>22115449.1287481</v>
      </c>
      <c r="Q298" s="107">
        <v>8607388.0582517814</v>
      </c>
      <c r="R298" s="107">
        <v>1315726.9200000002</v>
      </c>
      <c r="S298" s="108"/>
      <c r="T298" s="145">
        <v>1071050.3864744671</v>
      </c>
      <c r="U298" s="23">
        <f t="shared" si="35"/>
        <v>8</v>
      </c>
    </row>
    <row r="299" spans="1:22" x14ac:dyDescent="0.25">
      <c r="A299" s="102">
        <f t="shared" si="36"/>
        <v>281</v>
      </c>
      <c r="B299" s="101">
        <f t="shared" si="36"/>
        <v>93</v>
      </c>
      <c r="C299" s="73" t="s">
        <v>51</v>
      </c>
      <c r="D299" s="120" t="s">
        <v>470</v>
      </c>
      <c r="E299" s="123">
        <f t="shared" si="33"/>
        <v>1361469.02</v>
      </c>
      <c r="F299" s="107">
        <v>0</v>
      </c>
      <c r="G299" s="107">
        <v>0</v>
      </c>
      <c r="H299" s="107">
        <v>0</v>
      </c>
      <c r="I299" s="107">
        <v>0</v>
      </c>
      <c r="J299" s="107">
        <v>1350771.93</v>
      </c>
      <c r="K299" s="107"/>
      <c r="L299" s="107"/>
      <c r="M299" s="107">
        <v>0</v>
      </c>
      <c r="N299" s="107">
        <v>0</v>
      </c>
      <c r="O299" s="107">
        <v>0</v>
      </c>
      <c r="P299" s="107">
        <v>0</v>
      </c>
      <c r="Q299" s="107">
        <v>0</v>
      </c>
      <c r="R299" s="107"/>
      <c r="S299" s="108"/>
      <c r="T299" s="145">
        <v>10697.09</v>
      </c>
      <c r="U299" s="23">
        <f t="shared" si="35"/>
        <v>1</v>
      </c>
    </row>
    <row r="300" spans="1:22" x14ac:dyDescent="0.25">
      <c r="A300" s="102">
        <f t="shared" si="36"/>
        <v>282</v>
      </c>
      <c r="B300" s="101">
        <f t="shared" si="36"/>
        <v>94</v>
      </c>
      <c r="C300" s="73" t="s">
        <v>51</v>
      </c>
      <c r="D300" s="120" t="s">
        <v>471</v>
      </c>
      <c r="E300" s="123">
        <f t="shared" si="33"/>
        <v>4002892.3932919996</v>
      </c>
      <c r="F300" s="120">
        <v>0</v>
      </c>
      <c r="G300" s="120">
        <v>0</v>
      </c>
      <c r="H300" s="120">
        <v>0</v>
      </c>
      <c r="I300" s="120">
        <v>0</v>
      </c>
      <c r="J300" s="120">
        <v>0</v>
      </c>
      <c r="K300" s="120"/>
      <c r="L300" s="120"/>
      <c r="M300" s="120">
        <v>0</v>
      </c>
      <c r="N300" s="120">
        <v>3263979.76</v>
      </c>
      <c r="O300" s="120">
        <v>0</v>
      </c>
      <c r="P300" s="120">
        <v>0</v>
      </c>
      <c r="Q300" s="120">
        <v>0</v>
      </c>
      <c r="R300" s="107">
        <v>414638.11</v>
      </c>
      <c r="S300" s="120">
        <v>24000</v>
      </c>
      <c r="T300" s="152">
        <v>300274.52329200006</v>
      </c>
      <c r="U300" s="23">
        <f t="shared" si="35"/>
        <v>1</v>
      </c>
    </row>
    <row r="301" spans="1:22" x14ac:dyDescent="0.25">
      <c r="A301" s="102">
        <f t="shared" si="36"/>
        <v>283</v>
      </c>
      <c r="B301" s="101">
        <f t="shared" si="36"/>
        <v>95</v>
      </c>
      <c r="C301" s="73" t="s">
        <v>51</v>
      </c>
      <c r="D301" s="120" t="s">
        <v>472</v>
      </c>
      <c r="E301" s="123">
        <f t="shared" si="33"/>
        <v>79737727.121219635</v>
      </c>
      <c r="F301" s="107">
        <v>12940969.379562</v>
      </c>
      <c r="G301" s="107">
        <v>4683661.9785479996</v>
      </c>
      <c r="H301" s="107">
        <v>4913333.9575319998</v>
      </c>
      <c r="I301" s="107">
        <v>3167052.5843460001</v>
      </c>
      <c r="J301" s="107">
        <v>1684797.1438548602</v>
      </c>
      <c r="K301" s="107"/>
      <c r="L301" s="107">
        <v>453343.1808108</v>
      </c>
      <c r="M301" s="107">
        <v>0</v>
      </c>
      <c r="N301" s="107">
        <v>23720691.238029338</v>
      </c>
      <c r="O301" s="107">
        <v>0</v>
      </c>
      <c r="P301" s="107">
        <v>12262218.115820052</v>
      </c>
      <c r="Q301" s="107">
        <v>13351798.375892486</v>
      </c>
      <c r="R301" s="107">
        <v>872137.55</v>
      </c>
      <c r="S301" s="108"/>
      <c r="T301" s="145">
        <v>1687723.6168241003</v>
      </c>
      <c r="U301" s="23">
        <f t="shared" si="35"/>
        <v>9</v>
      </c>
    </row>
    <row r="302" spans="1:22" x14ac:dyDescent="0.25">
      <c r="A302" s="102">
        <f t="shared" si="36"/>
        <v>284</v>
      </c>
      <c r="B302" s="101">
        <f t="shared" si="36"/>
        <v>96</v>
      </c>
      <c r="C302" s="73" t="s">
        <v>51</v>
      </c>
      <c r="D302" s="120" t="s">
        <v>473</v>
      </c>
      <c r="E302" s="123">
        <f t="shared" si="33"/>
        <v>20464603.039999999</v>
      </c>
      <c r="F302" s="107">
        <v>9211045.8918660004</v>
      </c>
      <c r="G302" s="107"/>
      <c r="H302" s="107">
        <v>5754481.5923699997</v>
      </c>
      <c r="I302" s="107">
        <v>4529120.957676</v>
      </c>
      <c r="J302" s="107"/>
      <c r="K302" s="107"/>
      <c r="L302" s="107">
        <v>418375.75401383999</v>
      </c>
      <c r="M302" s="107">
        <v>0</v>
      </c>
      <c r="N302" s="107">
        <v>0</v>
      </c>
      <c r="O302" s="107">
        <v>0</v>
      </c>
      <c r="P302" s="107">
        <v>0</v>
      </c>
      <c r="Q302" s="107">
        <v>0</v>
      </c>
      <c r="R302" s="107">
        <v>93758.837799999994</v>
      </c>
      <c r="S302" s="108">
        <v>22362.497800000001</v>
      </c>
      <c r="T302" s="145">
        <v>435457.50847415999</v>
      </c>
      <c r="U302" s="23">
        <f t="shared" si="35"/>
        <v>4</v>
      </c>
    </row>
    <row r="303" spans="1:22" x14ac:dyDescent="0.25">
      <c r="A303" s="102">
        <f t="shared" si="36"/>
        <v>285</v>
      </c>
      <c r="B303" s="101">
        <f t="shared" si="36"/>
        <v>97</v>
      </c>
      <c r="C303" s="73" t="s">
        <v>51</v>
      </c>
      <c r="D303" s="120" t="s">
        <v>474</v>
      </c>
      <c r="E303" s="123">
        <f t="shared" si="33"/>
        <v>16119475.25326384</v>
      </c>
      <c r="F303" s="107"/>
      <c r="G303" s="107"/>
      <c r="H303" s="107">
        <v>0</v>
      </c>
      <c r="I303" s="107">
        <v>0</v>
      </c>
      <c r="J303" s="107">
        <v>924975.13</v>
      </c>
      <c r="K303" s="107"/>
      <c r="L303" s="107"/>
      <c r="M303" s="107">
        <v>0</v>
      </c>
      <c r="N303" s="107">
        <v>14844557.210124599</v>
      </c>
      <c r="O303" s="107">
        <v>0</v>
      </c>
      <c r="P303" s="107">
        <v>0</v>
      </c>
      <c r="Q303" s="107">
        <v>0</v>
      </c>
      <c r="R303" s="107"/>
      <c r="S303" s="108"/>
      <c r="T303" s="145">
        <v>349942.91313923994</v>
      </c>
      <c r="U303" s="23">
        <f t="shared" si="35"/>
        <v>2</v>
      </c>
    </row>
    <row r="304" spans="1:22" x14ac:dyDescent="0.25">
      <c r="A304" s="102">
        <f t="shared" ref="A304:B319" si="37">+A303+1</f>
        <v>286</v>
      </c>
      <c r="B304" s="101">
        <f t="shared" si="37"/>
        <v>98</v>
      </c>
      <c r="C304" s="73" t="s">
        <v>51</v>
      </c>
      <c r="D304" s="120" t="s">
        <v>419</v>
      </c>
      <c r="E304" s="123">
        <f t="shared" si="33"/>
        <v>22165138.859996557</v>
      </c>
      <c r="F304" s="107">
        <v>0</v>
      </c>
      <c r="G304" s="107">
        <v>4852018.6895581791</v>
      </c>
      <c r="H304" s="107"/>
      <c r="I304" s="107">
        <v>4510734.7664399995</v>
      </c>
      <c r="J304" s="107">
        <v>1562309.5679603999</v>
      </c>
      <c r="K304" s="107"/>
      <c r="L304" s="107"/>
      <c r="M304" s="107">
        <v>0</v>
      </c>
      <c r="N304" s="107">
        <v>0</v>
      </c>
      <c r="O304" s="107">
        <v>0</v>
      </c>
      <c r="P304" s="107">
        <v>0</v>
      </c>
      <c r="Q304" s="107">
        <v>11240075.836037977</v>
      </c>
      <c r="R304" s="107"/>
      <c r="S304" s="108"/>
      <c r="T304" s="145"/>
      <c r="U304" s="23">
        <f t="shared" si="35"/>
        <v>4</v>
      </c>
    </row>
    <row r="305" spans="1:22" x14ac:dyDescent="0.25">
      <c r="A305" s="102">
        <f t="shared" si="37"/>
        <v>287</v>
      </c>
      <c r="B305" s="101">
        <f t="shared" si="37"/>
        <v>99</v>
      </c>
      <c r="C305" s="73" t="s">
        <v>51</v>
      </c>
      <c r="D305" s="120" t="s">
        <v>420</v>
      </c>
      <c r="E305" s="123">
        <f t="shared" si="33"/>
        <v>1142240.9043090399</v>
      </c>
      <c r="F305" s="107"/>
      <c r="G305" s="107"/>
      <c r="H305" s="107">
        <v>902758.42</v>
      </c>
      <c r="I305" s="107"/>
      <c r="J305" s="107"/>
      <c r="K305" s="107"/>
      <c r="L305" s="107"/>
      <c r="M305" s="107">
        <v>0</v>
      </c>
      <c r="N305" s="107"/>
      <c r="O305" s="107">
        <v>0</v>
      </c>
      <c r="P305" s="107">
        <v>0</v>
      </c>
      <c r="Q305" s="107">
        <v>0</v>
      </c>
      <c r="R305" s="107"/>
      <c r="S305" s="108"/>
      <c r="T305" s="145">
        <v>239482.48430904001</v>
      </c>
      <c r="U305" s="23">
        <f t="shared" si="35"/>
        <v>1</v>
      </c>
    </row>
    <row r="306" spans="1:22" x14ac:dyDescent="0.25">
      <c r="A306" s="102">
        <f t="shared" si="37"/>
        <v>288</v>
      </c>
      <c r="B306" s="101">
        <f t="shared" si="37"/>
        <v>100</v>
      </c>
      <c r="C306" s="73" t="s">
        <v>51</v>
      </c>
      <c r="D306" s="120" t="s">
        <v>475</v>
      </c>
      <c r="E306" s="123">
        <f t="shared" si="33"/>
        <v>9072553.7200000007</v>
      </c>
      <c r="F306" s="107">
        <v>9072553.7200000007</v>
      </c>
      <c r="G306" s="107">
        <v>0</v>
      </c>
      <c r="H306" s="107"/>
      <c r="I306" s="107">
        <v>0</v>
      </c>
      <c r="J306" s="107">
        <v>0</v>
      </c>
      <c r="K306" s="107"/>
      <c r="L306" s="107"/>
      <c r="M306" s="107">
        <v>0</v>
      </c>
      <c r="N306" s="107">
        <v>0</v>
      </c>
      <c r="O306" s="107">
        <v>0</v>
      </c>
      <c r="P306" s="107"/>
      <c r="Q306" s="107">
        <v>0</v>
      </c>
      <c r="R306" s="107"/>
      <c r="S306" s="108"/>
      <c r="T306" s="145"/>
      <c r="U306" s="23">
        <f t="shared" si="35"/>
        <v>1</v>
      </c>
      <c r="V306" s="1" t="s">
        <v>160</v>
      </c>
    </row>
    <row r="307" spans="1:22" x14ac:dyDescent="0.25">
      <c r="A307" s="102">
        <f t="shared" si="37"/>
        <v>289</v>
      </c>
      <c r="B307" s="101">
        <f t="shared" si="37"/>
        <v>101</v>
      </c>
      <c r="C307" s="73" t="s">
        <v>51</v>
      </c>
      <c r="D307" s="120" t="s">
        <v>422</v>
      </c>
      <c r="E307" s="123">
        <f t="shared" si="33"/>
        <v>1447716.48246928</v>
      </c>
      <c r="F307" s="107"/>
      <c r="G307" s="107">
        <v>773824.99</v>
      </c>
      <c r="H307" s="107"/>
      <c r="I307" s="107">
        <v>492005.51</v>
      </c>
      <c r="J307" s="107"/>
      <c r="K307" s="107"/>
      <c r="L307" s="107"/>
      <c r="M307" s="107">
        <v>0</v>
      </c>
      <c r="N307" s="107"/>
      <c r="O307" s="107">
        <v>0</v>
      </c>
      <c r="P307" s="107">
        <v>0</v>
      </c>
      <c r="Q307" s="107">
        <v>0</v>
      </c>
      <c r="R307" s="107"/>
      <c r="S307" s="108"/>
      <c r="T307" s="145">
        <v>181885.98246928002</v>
      </c>
      <c r="U307" s="23">
        <f t="shared" si="35"/>
        <v>2</v>
      </c>
      <c r="V307" s="1" t="s">
        <v>146</v>
      </c>
    </row>
    <row r="308" spans="1:22" x14ac:dyDescent="0.25">
      <c r="A308" s="102">
        <f t="shared" si="37"/>
        <v>290</v>
      </c>
      <c r="B308" s="101">
        <f t="shared" si="37"/>
        <v>102</v>
      </c>
      <c r="C308" s="73" t="s">
        <v>51</v>
      </c>
      <c r="D308" s="120" t="s">
        <v>426</v>
      </c>
      <c r="E308" s="123">
        <f t="shared" si="33"/>
        <v>2775681.0349999997</v>
      </c>
      <c r="F308" s="107"/>
      <c r="G308" s="107">
        <v>1524520.14</v>
      </c>
      <c r="H308" s="107"/>
      <c r="I308" s="107">
        <v>1224386.0518469999</v>
      </c>
      <c r="J308" s="107"/>
      <c r="K308" s="107"/>
      <c r="L308" s="107"/>
      <c r="M308" s="107">
        <v>0</v>
      </c>
      <c r="N308" s="107">
        <v>0</v>
      </c>
      <c r="O308" s="107">
        <v>0</v>
      </c>
      <c r="P308" s="107">
        <v>0</v>
      </c>
      <c r="Q308" s="107">
        <v>0</v>
      </c>
      <c r="R308" s="107"/>
      <c r="S308" s="108"/>
      <c r="T308" s="145">
        <v>26774.843153000005</v>
      </c>
      <c r="U308" s="23">
        <f t="shared" si="35"/>
        <v>2</v>
      </c>
    </row>
    <row r="309" spans="1:22" x14ac:dyDescent="0.25">
      <c r="A309" s="102">
        <f t="shared" si="37"/>
        <v>291</v>
      </c>
      <c r="B309" s="101">
        <f t="shared" si="37"/>
        <v>103</v>
      </c>
      <c r="C309" s="73" t="s">
        <v>51</v>
      </c>
      <c r="D309" s="120" t="s">
        <v>476</v>
      </c>
      <c r="E309" s="123">
        <f t="shared" si="33"/>
        <v>14886688.384542881</v>
      </c>
      <c r="F309" s="107"/>
      <c r="G309" s="107"/>
      <c r="H309" s="107"/>
      <c r="I309" s="107"/>
      <c r="J309" s="107"/>
      <c r="K309" s="107"/>
      <c r="L309" s="107"/>
      <c r="M309" s="107"/>
      <c r="N309" s="107"/>
      <c r="O309" s="107">
        <v>0</v>
      </c>
      <c r="P309" s="107">
        <v>14156807.720000001</v>
      </c>
      <c r="Q309" s="107"/>
      <c r="R309" s="107">
        <v>185105.35</v>
      </c>
      <c r="S309" s="108"/>
      <c r="T309" s="145">
        <v>544775.31454288005</v>
      </c>
      <c r="U309" s="23">
        <f t="shared" si="35"/>
        <v>1</v>
      </c>
      <c r="V309" s="1" t="s">
        <v>149</v>
      </c>
    </row>
    <row r="310" spans="1:22" x14ac:dyDescent="0.25">
      <c r="A310" s="102">
        <f t="shared" si="37"/>
        <v>292</v>
      </c>
      <c r="B310" s="101">
        <f t="shared" si="37"/>
        <v>104</v>
      </c>
      <c r="C310" s="73" t="s">
        <v>51</v>
      </c>
      <c r="D310" s="120" t="s">
        <v>425</v>
      </c>
      <c r="E310" s="123">
        <f t="shared" si="33"/>
        <v>2425305.8059979999</v>
      </c>
      <c r="F310" s="107"/>
      <c r="G310" s="107"/>
      <c r="H310" s="107">
        <v>2131365.73</v>
      </c>
      <c r="I310" s="107"/>
      <c r="J310" s="107"/>
      <c r="K310" s="107"/>
      <c r="L310" s="107"/>
      <c r="M310" s="107">
        <v>0</v>
      </c>
      <c r="N310" s="107">
        <v>0</v>
      </c>
      <c r="O310" s="107">
        <v>0</v>
      </c>
      <c r="P310" s="107">
        <v>0</v>
      </c>
      <c r="Q310" s="107">
        <v>0</v>
      </c>
      <c r="R310" s="107"/>
      <c r="S310" s="108"/>
      <c r="T310" s="145">
        <v>293940.07599800004</v>
      </c>
      <c r="U310" s="23">
        <f t="shared" si="35"/>
        <v>1</v>
      </c>
      <c r="V310" s="1" t="s">
        <v>149</v>
      </c>
    </row>
    <row r="311" spans="1:22" x14ac:dyDescent="0.25">
      <c r="A311" s="102">
        <f t="shared" si="37"/>
        <v>293</v>
      </c>
      <c r="B311" s="101">
        <f t="shared" si="37"/>
        <v>105</v>
      </c>
      <c r="C311" s="73" t="s">
        <v>51</v>
      </c>
      <c r="D311" s="120" t="s">
        <v>173</v>
      </c>
      <c r="E311" s="123">
        <f t="shared" si="33"/>
        <v>3379171.1646039202</v>
      </c>
      <c r="F311" s="107">
        <v>2685666.7031999999</v>
      </c>
      <c r="G311" s="107"/>
      <c r="H311" s="107"/>
      <c r="I311" s="107"/>
      <c r="J311" s="144"/>
      <c r="K311" s="107"/>
      <c r="L311" s="107"/>
      <c r="M311" s="107">
        <v>0</v>
      </c>
      <c r="N311" s="107"/>
      <c r="O311" s="107">
        <v>0</v>
      </c>
      <c r="P311" s="107">
        <v>0</v>
      </c>
      <c r="Q311" s="107">
        <v>0</v>
      </c>
      <c r="R311" s="107">
        <v>513326.799</v>
      </c>
      <c r="S311" s="108">
        <v>73858.718200000003</v>
      </c>
      <c r="T311" s="145">
        <v>106318.94420392002</v>
      </c>
      <c r="U311" s="23">
        <f t="shared" si="35"/>
        <v>1</v>
      </c>
      <c r="V311" s="1" t="s">
        <v>146</v>
      </c>
    </row>
    <row r="312" spans="1:22" x14ac:dyDescent="0.25">
      <c r="A312" s="102">
        <f t="shared" si="37"/>
        <v>294</v>
      </c>
      <c r="B312" s="101">
        <f t="shared" si="37"/>
        <v>106</v>
      </c>
      <c r="C312" s="73" t="s">
        <v>51</v>
      </c>
      <c r="D312" s="120" t="s">
        <v>477</v>
      </c>
      <c r="E312" s="123">
        <f t="shared" si="33"/>
        <v>28649224.581331842</v>
      </c>
      <c r="F312" s="107">
        <v>4576911.5816813763</v>
      </c>
      <c r="G312" s="107">
        <v>1579170.278889101</v>
      </c>
      <c r="H312" s="107">
        <v>1749764.9776173774</v>
      </c>
      <c r="I312" s="107">
        <v>1033837.3260811009</v>
      </c>
      <c r="J312" s="107"/>
      <c r="K312" s="107"/>
      <c r="L312" s="107">
        <v>169508.96361133867</v>
      </c>
      <c r="M312" s="107"/>
      <c r="N312" s="107">
        <v>8581326.8504877668</v>
      </c>
      <c r="O312" s="107"/>
      <c r="P312" s="107">
        <v>4351256.1518796822</v>
      </c>
      <c r="Q312" s="107">
        <v>4796312.227541185</v>
      </c>
      <c r="R312" s="107">
        <v>1182055.9529919669</v>
      </c>
      <c r="S312" s="108">
        <v>42185.634482399997</v>
      </c>
      <c r="T312" s="145">
        <v>586894.63606854994</v>
      </c>
      <c r="U312" s="23">
        <f t="shared" si="35"/>
        <v>8</v>
      </c>
    </row>
    <row r="313" spans="1:22" x14ac:dyDescent="0.25">
      <c r="A313" s="102">
        <f t="shared" si="37"/>
        <v>295</v>
      </c>
      <c r="B313" s="101">
        <f t="shared" si="37"/>
        <v>107</v>
      </c>
      <c r="C313" s="73" t="s">
        <v>51</v>
      </c>
      <c r="D313" s="120" t="s">
        <v>236</v>
      </c>
      <c r="E313" s="123">
        <f t="shared" si="33"/>
        <v>15174875.683114039</v>
      </c>
      <c r="F313" s="107">
        <v>5740166.195995139</v>
      </c>
      <c r="G313" s="107"/>
      <c r="H313" s="107">
        <v>271883.74</v>
      </c>
      <c r="I313" s="144">
        <v>1073235.29</v>
      </c>
      <c r="J313" s="107"/>
      <c r="K313" s="107"/>
      <c r="L313" s="107">
        <v>285227.34661260003</v>
      </c>
      <c r="M313" s="107"/>
      <c r="N313" s="107"/>
      <c r="O313" s="107"/>
      <c r="P313" s="107"/>
      <c r="Q313" s="107">
        <v>6294505.1200000001</v>
      </c>
      <c r="R313" s="107">
        <v>1065595.152</v>
      </c>
      <c r="S313" s="108">
        <v>110213.54349999999</v>
      </c>
      <c r="T313" s="145">
        <v>334049.29500629997</v>
      </c>
      <c r="U313" s="23">
        <f t="shared" si="35"/>
        <v>5</v>
      </c>
    </row>
    <row r="314" spans="1:22" x14ac:dyDescent="0.25">
      <c r="A314" s="102">
        <f t="shared" si="37"/>
        <v>296</v>
      </c>
      <c r="B314" s="101">
        <f t="shared" si="37"/>
        <v>108</v>
      </c>
      <c r="C314" s="73" t="s">
        <v>51</v>
      </c>
      <c r="D314" s="120" t="s">
        <v>478</v>
      </c>
      <c r="E314" s="123">
        <f t="shared" si="33"/>
        <v>1535156.8941092999</v>
      </c>
      <c r="F314" s="107">
        <v>0</v>
      </c>
      <c r="G314" s="107">
        <v>0</v>
      </c>
      <c r="H314" s="107">
        <v>0</v>
      </c>
      <c r="I314" s="107">
        <v>0</v>
      </c>
      <c r="J314" s="107">
        <v>1356649.13</v>
      </c>
      <c r="K314" s="107"/>
      <c r="L314" s="107"/>
      <c r="M314" s="107">
        <v>0</v>
      </c>
      <c r="N314" s="107">
        <v>0</v>
      </c>
      <c r="O314" s="107">
        <v>0</v>
      </c>
      <c r="P314" s="107">
        <v>0</v>
      </c>
      <c r="Q314" s="107"/>
      <c r="R314" s="107"/>
      <c r="S314" s="108"/>
      <c r="T314" s="145">
        <v>178507.76410930001</v>
      </c>
      <c r="U314" s="23">
        <f t="shared" si="35"/>
        <v>1</v>
      </c>
    </row>
    <row r="315" spans="1:22" x14ac:dyDescent="0.25">
      <c r="A315" s="102">
        <f t="shared" si="37"/>
        <v>297</v>
      </c>
      <c r="B315" s="101">
        <f t="shared" si="37"/>
        <v>109</v>
      </c>
      <c r="C315" s="73" t="s">
        <v>51</v>
      </c>
      <c r="D315" s="120" t="s">
        <v>479</v>
      </c>
      <c r="E315" s="123">
        <f t="shared" si="33"/>
        <v>1572957.3080766001</v>
      </c>
      <c r="F315" s="107">
        <v>0</v>
      </c>
      <c r="G315" s="107">
        <v>0</v>
      </c>
      <c r="H315" s="107">
        <v>0</v>
      </c>
      <c r="I315" s="107">
        <v>0</v>
      </c>
      <c r="J315" s="107">
        <v>1392786.91</v>
      </c>
      <c r="K315" s="107"/>
      <c r="L315" s="107"/>
      <c r="M315" s="107">
        <v>0</v>
      </c>
      <c r="N315" s="107">
        <v>0</v>
      </c>
      <c r="O315" s="107">
        <v>0</v>
      </c>
      <c r="P315" s="107">
        <v>0</v>
      </c>
      <c r="Q315" s="107"/>
      <c r="R315" s="107"/>
      <c r="S315" s="108"/>
      <c r="T315" s="145">
        <v>180170.39807660005</v>
      </c>
      <c r="U315" s="23">
        <f t="shared" ref="U315:U347" si="38">COUNTIF(F315:Q315,"&gt;0")</f>
        <v>1</v>
      </c>
    </row>
    <row r="316" spans="1:22" x14ac:dyDescent="0.25">
      <c r="A316" s="102">
        <f t="shared" si="37"/>
        <v>298</v>
      </c>
      <c r="B316" s="101">
        <f t="shared" si="37"/>
        <v>110</v>
      </c>
      <c r="C316" s="73" t="s">
        <v>51</v>
      </c>
      <c r="D316" s="120" t="s">
        <v>480</v>
      </c>
      <c r="E316" s="123">
        <f t="shared" si="33"/>
        <v>1352653.874176</v>
      </c>
      <c r="F316" s="107">
        <v>0</v>
      </c>
      <c r="G316" s="107">
        <v>0</v>
      </c>
      <c r="H316" s="107">
        <v>0</v>
      </c>
      <c r="I316" s="107">
        <v>0</v>
      </c>
      <c r="J316" s="107">
        <v>1346427.66</v>
      </c>
      <c r="K316" s="107"/>
      <c r="L316" s="107"/>
      <c r="M316" s="107">
        <v>0</v>
      </c>
      <c r="N316" s="107">
        <v>0</v>
      </c>
      <c r="O316" s="107">
        <v>0</v>
      </c>
      <c r="P316" s="107">
        <v>0</v>
      </c>
      <c r="Q316" s="107"/>
      <c r="R316" s="107"/>
      <c r="S316" s="108"/>
      <c r="T316" s="145">
        <v>6226.2141759999995</v>
      </c>
      <c r="U316" s="23">
        <f t="shared" si="38"/>
        <v>1</v>
      </c>
    </row>
    <row r="317" spans="1:22" x14ac:dyDescent="0.25">
      <c r="A317" s="102">
        <f t="shared" si="37"/>
        <v>299</v>
      </c>
      <c r="B317" s="101">
        <f t="shared" si="37"/>
        <v>111</v>
      </c>
      <c r="C317" s="73" t="s">
        <v>51</v>
      </c>
      <c r="D317" s="120" t="s">
        <v>481</v>
      </c>
      <c r="E317" s="123">
        <f t="shared" si="33"/>
        <v>1352798.894176</v>
      </c>
      <c r="F317" s="107">
        <v>0</v>
      </c>
      <c r="G317" s="107">
        <v>0</v>
      </c>
      <c r="H317" s="107">
        <v>0</v>
      </c>
      <c r="I317" s="107">
        <v>0</v>
      </c>
      <c r="J317" s="107">
        <v>1346569.54</v>
      </c>
      <c r="K317" s="107"/>
      <c r="L317" s="107"/>
      <c r="M317" s="107">
        <v>0</v>
      </c>
      <c r="N317" s="107">
        <v>0</v>
      </c>
      <c r="O317" s="107">
        <v>0</v>
      </c>
      <c r="P317" s="107">
        <v>0</v>
      </c>
      <c r="Q317" s="107"/>
      <c r="R317" s="107"/>
      <c r="S317" s="108"/>
      <c r="T317" s="145">
        <v>6229.3541759999989</v>
      </c>
      <c r="U317" s="23">
        <f t="shared" si="38"/>
        <v>1</v>
      </c>
      <c r="V317" s="130"/>
    </row>
    <row r="318" spans="1:22" x14ac:dyDescent="0.25">
      <c r="A318" s="102">
        <f t="shared" si="37"/>
        <v>300</v>
      </c>
      <c r="B318" s="101">
        <f t="shared" si="37"/>
        <v>112</v>
      </c>
      <c r="C318" s="73" t="s">
        <v>51</v>
      </c>
      <c r="D318" s="120" t="s">
        <v>482</v>
      </c>
      <c r="E318" s="123">
        <f t="shared" si="33"/>
        <v>25478711.007879999</v>
      </c>
      <c r="F318" s="107">
        <v>6334618.4835359994</v>
      </c>
      <c r="G318" s="107">
        <v>2285255.0308980001</v>
      </c>
      <c r="H318" s="107">
        <v>2421941.33</v>
      </c>
      <c r="I318" s="107">
        <v>1543119.658416</v>
      </c>
      <c r="J318" s="107"/>
      <c r="K318" s="107"/>
      <c r="L318" s="107">
        <v>222397.71089423998</v>
      </c>
      <c r="M318" s="107">
        <v>0</v>
      </c>
      <c r="N318" s="107">
        <v>11696963.74329</v>
      </c>
      <c r="O318" s="107">
        <v>0</v>
      </c>
      <c r="P318" s="107">
        <v>0</v>
      </c>
      <c r="Q318" s="107"/>
      <c r="R318" s="107">
        <v>388642.91079999995</v>
      </c>
      <c r="S318" s="108">
        <v>50318.9908</v>
      </c>
      <c r="T318" s="145">
        <v>535453.14924575994</v>
      </c>
      <c r="U318" s="23">
        <f t="shared" si="38"/>
        <v>6</v>
      </c>
    </row>
    <row r="319" spans="1:22" x14ac:dyDescent="0.25">
      <c r="A319" s="102">
        <f t="shared" si="37"/>
        <v>301</v>
      </c>
      <c r="B319" s="101">
        <f t="shared" si="37"/>
        <v>113</v>
      </c>
      <c r="C319" s="73" t="s">
        <v>51</v>
      </c>
      <c r="D319" s="120" t="s">
        <v>483</v>
      </c>
      <c r="E319" s="123">
        <f t="shared" si="33"/>
        <v>25889637.380291998</v>
      </c>
      <c r="F319" s="107">
        <v>6438393.5627339995</v>
      </c>
      <c r="G319" s="107">
        <v>2323154.7703559999</v>
      </c>
      <c r="H319" s="107">
        <v>2462247.36</v>
      </c>
      <c r="I319" s="107">
        <v>1568819.974554</v>
      </c>
      <c r="J319" s="107"/>
      <c r="K319" s="107"/>
      <c r="L319" s="107">
        <v>226016.53592027997</v>
      </c>
      <c r="M319" s="107">
        <v>0</v>
      </c>
      <c r="N319" s="107">
        <v>11889999.423917999</v>
      </c>
      <c r="O319" s="107">
        <v>0</v>
      </c>
      <c r="P319" s="107">
        <v>0</v>
      </c>
      <c r="Q319" s="107">
        <v>0</v>
      </c>
      <c r="R319" s="107">
        <v>386371.78509999998</v>
      </c>
      <c r="S319" s="108">
        <v>50356.725099999996</v>
      </c>
      <c r="T319" s="145">
        <v>544277.24260971998</v>
      </c>
      <c r="U319" s="23">
        <f t="shared" si="38"/>
        <v>6</v>
      </c>
    </row>
    <row r="320" spans="1:22" x14ac:dyDescent="0.25">
      <c r="A320" s="102">
        <f t="shared" ref="A320:B335" si="39">+A319+1</f>
        <v>302</v>
      </c>
      <c r="B320" s="101">
        <f t="shared" si="39"/>
        <v>114</v>
      </c>
      <c r="C320" s="73" t="s">
        <v>51</v>
      </c>
      <c r="D320" s="120" t="s">
        <v>484</v>
      </c>
      <c r="E320" s="123">
        <f t="shared" si="33"/>
        <v>35496577.607600003</v>
      </c>
      <c r="F320" s="107">
        <v>7094689.9108260004</v>
      </c>
      <c r="G320" s="107">
        <v>2547296.6905259998</v>
      </c>
      <c r="H320" s="107">
        <v>2688117.7002540003</v>
      </c>
      <c r="I320" s="107">
        <v>1716680.7293160001</v>
      </c>
      <c r="J320" s="107"/>
      <c r="K320" s="107"/>
      <c r="L320" s="107">
        <v>249717.57989135996</v>
      </c>
      <c r="M320" s="107">
        <v>0</v>
      </c>
      <c r="N320" s="107">
        <v>13087063.849398002</v>
      </c>
      <c r="O320" s="107">
        <v>0</v>
      </c>
      <c r="P320" s="107">
        <v>0</v>
      </c>
      <c r="Q320" s="107">
        <v>7353384.3865860002</v>
      </c>
      <c r="R320" s="107"/>
      <c r="S320" s="108"/>
      <c r="T320" s="145">
        <v>759626.76080264</v>
      </c>
      <c r="U320" s="23">
        <f t="shared" si="38"/>
        <v>7</v>
      </c>
    </row>
    <row r="321" spans="1:70" x14ac:dyDescent="0.25">
      <c r="A321" s="102">
        <f t="shared" si="39"/>
        <v>303</v>
      </c>
      <c r="B321" s="101">
        <f t="shared" si="39"/>
        <v>115</v>
      </c>
      <c r="C321" s="73" t="s">
        <v>51</v>
      </c>
      <c r="D321" s="120" t="s">
        <v>485</v>
      </c>
      <c r="E321" s="123">
        <f t="shared" si="33"/>
        <v>1263115.48</v>
      </c>
      <c r="F321" s="107">
        <v>0</v>
      </c>
      <c r="G321" s="107">
        <v>0</v>
      </c>
      <c r="H321" s="107">
        <v>0</v>
      </c>
      <c r="I321" s="107">
        <v>0</v>
      </c>
      <c r="J321" s="107">
        <v>1256015.48</v>
      </c>
      <c r="K321" s="107"/>
      <c r="L321" s="107"/>
      <c r="M321" s="107">
        <v>0</v>
      </c>
      <c r="N321" s="107">
        <v>0</v>
      </c>
      <c r="O321" s="107">
        <v>0</v>
      </c>
      <c r="P321" s="107">
        <v>0</v>
      </c>
      <c r="Q321" s="107">
        <v>0</v>
      </c>
      <c r="R321" s="107"/>
      <c r="S321" s="108"/>
      <c r="T321" s="145">
        <v>7100</v>
      </c>
      <c r="U321" s="23">
        <f t="shared" si="38"/>
        <v>1</v>
      </c>
    </row>
    <row r="322" spans="1:70" x14ac:dyDescent="0.25">
      <c r="A322" s="102">
        <f t="shared" si="39"/>
        <v>304</v>
      </c>
      <c r="B322" s="101">
        <f t="shared" si="39"/>
        <v>116</v>
      </c>
      <c r="C322" s="73" t="s">
        <v>51</v>
      </c>
      <c r="D322" s="120" t="s">
        <v>431</v>
      </c>
      <c r="E322" s="123">
        <f t="shared" si="33"/>
        <v>1282264.52</v>
      </c>
      <c r="F322" s="107">
        <v>0</v>
      </c>
      <c r="G322" s="107">
        <v>0</v>
      </c>
      <c r="H322" s="107">
        <v>0</v>
      </c>
      <c r="I322" s="107">
        <v>0</v>
      </c>
      <c r="J322" s="107">
        <v>1274871.31</v>
      </c>
      <c r="K322" s="107"/>
      <c r="L322" s="107"/>
      <c r="M322" s="107">
        <v>0</v>
      </c>
      <c r="N322" s="107">
        <v>0</v>
      </c>
      <c r="O322" s="107">
        <v>0</v>
      </c>
      <c r="P322" s="107">
        <v>0</v>
      </c>
      <c r="Q322" s="107"/>
      <c r="R322" s="107"/>
      <c r="S322" s="108"/>
      <c r="T322" s="145">
        <v>7393.21</v>
      </c>
      <c r="U322" s="23">
        <f t="shared" si="38"/>
        <v>1</v>
      </c>
    </row>
    <row r="323" spans="1:70" x14ac:dyDescent="0.25">
      <c r="A323" s="102">
        <f t="shared" si="39"/>
        <v>305</v>
      </c>
      <c r="B323" s="101">
        <f t="shared" si="39"/>
        <v>117</v>
      </c>
      <c r="C323" s="73" t="s">
        <v>51</v>
      </c>
      <c r="D323" s="120" t="s">
        <v>428</v>
      </c>
      <c r="E323" s="123">
        <f t="shared" si="33"/>
        <v>11699117.62284708</v>
      </c>
      <c r="F323" s="107">
        <v>6146198.4400000004</v>
      </c>
      <c r="G323" s="107">
        <v>3984439.31</v>
      </c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8"/>
      <c r="T323" s="145">
        <v>1568479.8728470802</v>
      </c>
      <c r="U323" s="23">
        <f t="shared" si="38"/>
        <v>2</v>
      </c>
    </row>
    <row r="324" spans="1:70" x14ac:dyDescent="0.25">
      <c r="A324" s="102">
        <f t="shared" si="39"/>
        <v>306</v>
      </c>
      <c r="B324" s="101">
        <f t="shared" si="39"/>
        <v>118</v>
      </c>
      <c r="C324" s="73" t="s">
        <v>51</v>
      </c>
      <c r="D324" s="120" t="s">
        <v>429</v>
      </c>
      <c r="E324" s="123">
        <f t="shared" si="33"/>
        <v>10994869.534908921</v>
      </c>
      <c r="F324" s="107">
        <v>5873059.1900000004</v>
      </c>
      <c r="G324" s="107">
        <v>2586516.65</v>
      </c>
      <c r="H324" s="107"/>
      <c r="I324" s="107">
        <v>1749661.57</v>
      </c>
      <c r="J324" s="107"/>
      <c r="K324" s="107"/>
      <c r="L324" s="107"/>
      <c r="M324" s="107"/>
      <c r="N324" s="107"/>
      <c r="O324" s="107"/>
      <c r="P324" s="107"/>
      <c r="Q324" s="107"/>
      <c r="R324" s="107"/>
      <c r="S324" s="108"/>
      <c r="T324" s="145">
        <v>785632.12490892003</v>
      </c>
      <c r="U324" s="23">
        <f t="shared" si="38"/>
        <v>3</v>
      </c>
      <c r="V324" s="1" t="s">
        <v>149</v>
      </c>
    </row>
    <row r="325" spans="1:70" x14ac:dyDescent="0.25">
      <c r="A325" s="102">
        <f t="shared" si="39"/>
        <v>307</v>
      </c>
      <c r="B325" s="101">
        <f t="shared" si="39"/>
        <v>119</v>
      </c>
      <c r="C325" s="73" t="s">
        <v>51</v>
      </c>
      <c r="D325" s="120" t="s">
        <v>434</v>
      </c>
      <c r="E325" s="123">
        <f t="shared" si="33"/>
        <v>32062275.124032822</v>
      </c>
      <c r="F325" s="107">
        <v>7864219.1399999997</v>
      </c>
      <c r="G325" s="120"/>
      <c r="H325" s="107">
        <v>3146616.7799999993</v>
      </c>
      <c r="I325" s="107">
        <v>3369342.59</v>
      </c>
      <c r="J325" s="120"/>
      <c r="K325" s="120"/>
      <c r="L325" s="120"/>
      <c r="M325" s="120"/>
      <c r="N325" s="120"/>
      <c r="O325" s="120"/>
      <c r="P325" s="120"/>
      <c r="Q325" s="120">
        <v>14257827.475101</v>
      </c>
      <c r="R325" s="107">
        <v>2584774.6794000003</v>
      </c>
      <c r="S325" s="107">
        <v>286926.38929999998</v>
      </c>
      <c r="T325" s="145">
        <v>552568.07023181999</v>
      </c>
      <c r="U325" s="23">
        <f t="shared" si="38"/>
        <v>4</v>
      </c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</row>
    <row r="326" spans="1:70" x14ac:dyDescent="0.25">
      <c r="A326" s="102">
        <f t="shared" si="39"/>
        <v>308</v>
      </c>
      <c r="B326" s="101">
        <f t="shared" si="39"/>
        <v>120</v>
      </c>
      <c r="C326" s="73" t="s">
        <v>51</v>
      </c>
      <c r="D326" s="120" t="s">
        <v>486</v>
      </c>
      <c r="E326" s="123">
        <f t="shared" si="33"/>
        <v>54474244.048956797</v>
      </c>
      <c r="F326" s="107">
        <v>16034044.152180096</v>
      </c>
      <c r="G326" s="107">
        <v>5691851.8389192764</v>
      </c>
      <c r="H326" s="107">
        <v>6092197.7857524259</v>
      </c>
      <c r="I326" s="107">
        <v>3794974.5043992773</v>
      </c>
      <c r="J326" s="107">
        <v>2792950.7234944897</v>
      </c>
      <c r="K326" s="107"/>
      <c r="L326" s="107">
        <v>582245.94929312461</v>
      </c>
      <c r="M326" s="107"/>
      <c r="N326" s="107"/>
      <c r="O326" s="107"/>
      <c r="P326" s="109"/>
      <c r="Q326" s="107">
        <v>16788121.983090475</v>
      </c>
      <c r="R326" s="107">
        <v>1515314.3848925564</v>
      </c>
      <c r="S326" s="108">
        <v>50298.009527999995</v>
      </c>
      <c r="T326" s="145">
        <v>1132244.7174070757</v>
      </c>
      <c r="U326" s="23">
        <f t="shared" si="38"/>
        <v>7</v>
      </c>
    </row>
    <row r="327" spans="1:70" x14ac:dyDescent="0.25">
      <c r="A327" s="102">
        <f t="shared" si="39"/>
        <v>309</v>
      </c>
      <c r="B327" s="101">
        <f t="shared" si="39"/>
        <v>121</v>
      </c>
      <c r="C327" s="73" t="s">
        <v>51</v>
      </c>
      <c r="D327" s="120" t="s">
        <v>437</v>
      </c>
      <c r="E327" s="123">
        <f t="shared" si="33"/>
        <v>21780503.481325135</v>
      </c>
      <c r="F327" s="107">
        <v>6939356.6437431425</v>
      </c>
      <c r="G327" s="107">
        <v>0</v>
      </c>
      <c r="H327" s="107">
        <v>0</v>
      </c>
      <c r="I327" s="107">
        <v>0</v>
      </c>
      <c r="J327" s="107">
        <v>818458.35</v>
      </c>
      <c r="K327" s="107"/>
      <c r="L327" s="107">
        <v>266268.26596902258</v>
      </c>
      <c r="M327" s="107">
        <v>0</v>
      </c>
      <c r="N327" s="107">
        <v>6490827.1100000003</v>
      </c>
      <c r="O327" s="107">
        <v>0</v>
      </c>
      <c r="P327" s="107">
        <v>0</v>
      </c>
      <c r="Q327" s="107">
        <v>7104547.2889906801</v>
      </c>
      <c r="R327" s="107"/>
      <c r="S327" s="108"/>
      <c r="T327" s="145">
        <v>161045.8226222918</v>
      </c>
      <c r="U327" s="23">
        <f t="shared" si="38"/>
        <v>5</v>
      </c>
      <c r="V327" s="41" t="s">
        <v>250</v>
      </c>
    </row>
    <row r="328" spans="1:70" x14ac:dyDescent="0.25">
      <c r="A328" s="102">
        <f t="shared" si="39"/>
        <v>310</v>
      </c>
      <c r="B328" s="101">
        <f t="shared" si="39"/>
        <v>122</v>
      </c>
      <c r="C328" s="73" t="s">
        <v>51</v>
      </c>
      <c r="D328" s="120" t="s">
        <v>235</v>
      </c>
      <c r="E328" s="123">
        <f t="shared" si="33"/>
        <v>494347.02441200003</v>
      </c>
      <c r="F328" s="107">
        <v>0</v>
      </c>
      <c r="G328" s="107">
        <v>0</v>
      </c>
      <c r="H328" s="107">
        <v>0</v>
      </c>
      <c r="I328" s="107">
        <v>0</v>
      </c>
      <c r="J328" s="107">
        <v>491444.9</v>
      </c>
      <c r="K328" s="107"/>
      <c r="L328" s="107"/>
      <c r="M328" s="107">
        <v>0</v>
      </c>
      <c r="N328" s="107">
        <v>0</v>
      </c>
      <c r="O328" s="107">
        <v>0</v>
      </c>
      <c r="P328" s="107"/>
      <c r="Q328" s="107"/>
      <c r="R328" s="107"/>
      <c r="S328" s="108"/>
      <c r="T328" s="145">
        <v>2902.1244119999997</v>
      </c>
      <c r="U328" s="23">
        <f t="shared" si="38"/>
        <v>1</v>
      </c>
    </row>
    <row r="329" spans="1:70" x14ac:dyDescent="0.25">
      <c r="A329" s="102">
        <f t="shared" si="39"/>
        <v>311</v>
      </c>
      <c r="B329" s="101">
        <f t="shared" si="39"/>
        <v>123</v>
      </c>
      <c r="C329" s="73" t="s">
        <v>51</v>
      </c>
      <c r="D329" s="120" t="s">
        <v>438</v>
      </c>
      <c r="E329" s="123">
        <f t="shared" si="33"/>
        <v>3954803.0756240007</v>
      </c>
      <c r="F329" s="107">
        <v>3286355.0600000005</v>
      </c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>
        <v>0</v>
      </c>
      <c r="R329" s="107">
        <v>157569.70000000001</v>
      </c>
      <c r="S329" s="108">
        <v>24000</v>
      </c>
      <c r="T329" s="145">
        <v>486878.31562400004</v>
      </c>
      <c r="U329" s="23">
        <f t="shared" si="38"/>
        <v>1</v>
      </c>
      <c r="V329" s="1" t="s">
        <v>146</v>
      </c>
    </row>
    <row r="330" spans="1:70" x14ac:dyDescent="0.25">
      <c r="A330" s="102">
        <f t="shared" si="39"/>
        <v>312</v>
      </c>
      <c r="B330" s="101">
        <f t="shared" si="39"/>
        <v>124</v>
      </c>
      <c r="C330" s="73" t="s">
        <v>51</v>
      </c>
      <c r="D330" s="120" t="s">
        <v>487</v>
      </c>
      <c r="E330" s="123">
        <f t="shared" si="33"/>
        <v>16015618.41</v>
      </c>
      <c r="F330" s="107">
        <v>0</v>
      </c>
      <c r="G330" s="107">
        <v>0</v>
      </c>
      <c r="H330" s="107">
        <v>0</v>
      </c>
      <c r="I330" s="107">
        <v>0</v>
      </c>
      <c r="J330" s="107">
        <v>0</v>
      </c>
      <c r="K330" s="107"/>
      <c r="L330" s="107"/>
      <c r="M330" s="107">
        <v>0</v>
      </c>
      <c r="N330" s="107">
        <v>0</v>
      </c>
      <c r="O330" s="107">
        <v>0</v>
      </c>
      <c r="P330" s="107">
        <v>0</v>
      </c>
      <c r="Q330" s="107">
        <v>15672884.176026</v>
      </c>
      <c r="R330" s="107"/>
      <c r="S330" s="108"/>
      <c r="T330" s="145">
        <v>342734.23397399997</v>
      </c>
      <c r="U330" s="23">
        <f t="shared" si="38"/>
        <v>1</v>
      </c>
    </row>
    <row r="331" spans="1:70" x14ac:dyDescent="0.25">
      <c r="A331" s="102">
        <f t="shared" si="39"/>
        <v>313</v>
      </c>
      <c r="B331" s="101">
        <f t="shared" si="39"/>
        <v>125</v>
      </c>
      <c r="C331" s="73" t="s">
        <v>51</v>
      </c>
      <c r="D331" s="120" t="s">
        <v>488</v>
      </c>
      <c r="E331" s="123">
        <f t="shared" si="33"/>
        <v>7682194.3148301998</v>
      </c>
      <c r="F331" s="107">
        <v>0</v>
      </c>
      <c r="G331" s="107">
        <v>0</v>
      </c>
      <c r="H331" s="107"/>
      <c r="I331" s="107">
        <v>0</v>
      </c>
      <c r="J331" s="107">
        <v>0</v>
      </c>
      <c r="K331" s="107"/>
      <c r="L331" s="107"/>
      <c r="M331" s="107">
        <v>0</v>
      </c>
      <c r="N331" s="107">
        <v>7389654.1600000001</v>
      </c>
      <c r="O331" s="107">
        <v>0</v>
      </c>
      <c r="P331" s="107"/>
      <c r="Q331" s="107">
        <v>0</v>
      </c>
      <c r="R331" s="107"/>
      <c r="S331" s="108"/>
      <c r="T331" s="145">
        <v>292540.15483020002</v>
      </c>
      <c r="U331" s="23">
        <f t="shared" si="38"/>
        <v>1</v>
      </c>
      <c r="V331" s="1" t="s">
        <v>146</v>
      </c>
    </row>
    <row r="332" spans="1:70" x14ac:dyDescent="0.25">
      <c r="A332" s="102">
        <f t="shared" si="39"/>
        <v>314</v>
      </c>
      <c r="B332" s="101">
        <f t="shared" si="39"/>
        <v>126</v>
      </c>
      <c r="C332" s="73" t="s">
        <v>51</v>
      </c>
      <c r="D332" s="120" t="s">
        <v>439</v>
      </c>
      <c r="E332" s="123">
        <f t="shared" si="33"/>
        <v>2498104.0629126201</v>
      </c>
      <c r="F332" s="107"/>
      <c r="G332" s="107">
        <v>1245773.46</v>
      </c>
      <c r="H332" s="144">
        <v>1202952.82</v>
      </c>
      <c r="I332" s="107"/>
      <c r="J332" s="107"/>
      <c r="K332" s="107"/>
      <c r="L332" s="107"/>
      <c r="M332" s="107">
        <v>0</v>
      </c>
      <c r="N332" s="107">
        <v>0</v>
      </c>
      <c r="O332" s="107">
        <v>0</v>
      </c>
      <c r="P332" s="107">
        <v>0</v>
      </c>
      <c r="Q332" s="107">
        <v>0</v>
      </c>
      <c r="R332" s="107"/>
      <c r="S332" s="108"/>
      <c r="T332" s="145">
        <v>49377.782912620009</v>
      </c>
      <c r="U332" s="23">
        <f t="shared" si="38"/>
        <v>2</v>
      </c>
    </row>
    <row r="333" spans="1:70" x14ac:dyDescent="0.25">
      <c r="A333" s="102">
        <f t="shared" si="39"/>
        <v>315</v>
      </c>
      <c r="B333" s="101">
        <f t="shared" si="39"/>
        <v>127</v>
      </c>
      <c r="C333" s="73" t="s">
        <v>51</v>
      </c>
      <c r="D333" s="120" t="s">
        <v>489</v>
      </c>
      <c r="E333" s="123">
        <f t="shared" si="33"/>
        <v>1024499.247894</v>
      </c>
      <c r="F333" s="107"/>
      <c r="G333" s="107"/>
      <c r="H333" s="107"/>
      <c r="I333" s="107">
        <v>0</v>
      </c>
      <c r="J333" s="107">
        <v>1020388.92</v>
      </c>
      <c r="K333" s="107"/>
      <c r="L333" s="107"/>
      <c r="M333" s="107"/>
      <c r="N333" s="107"/>
      <c r="O333" s="107"/>
      <c r="P333" s="107"/>
      <c r="Q333" s="107"/>
      <c r="R333" s="107"/>
      <c r="S333" s="108"/>
      <c r="T333" s="145">
        <v>4110.327894</v>
      </c>
      <c r="U333" s="23">
        <f t="shared" si="38"/>
        <v>1</v>
      </c>
    </row>
    <row r="334" spans="1:70" x14ac:dyDescent="0.25">
      <c r="A334" s="102">
        <f t="shared" si="39"/>
        <v>316</v>
      </c>
      <c r="B334" s="101">
        <f t="shared" si="39"/>
        <v>128</v>
      </c>
      <c r="C334" s="73" t="s">
        <v>51</v>
      </c>
      <c r="D334" s="120" t="s">
        <v>490</v>
      </c>
      <c r="E334" s="123">
        <f t="shared" si="33"/>
        <v>11931064.43</v>
      </c>
      <c r="F334" s="107"/>
      <c r="G334" s="107"/>
      <c r="H334" s="107"/>
      <c r="I334" s="107"/>
      <c r="J334" s="107"/>
      <c r="K334" s="107"/>
      <c r="L334" s="107"/>
      <c r="M334" s="107"/>
      <c r="N334" s="107">
        <v>11429694.42415854</v>
      </c>
      <c r="O334" s="107"/>
      <c r="P334" s="107"/>
      <c r="Q334" s="107"/>
      <c r="R334" s="107">
        <v>227425.73782900031</v>
      </c>
      <c r="S334" s="108">
        <v>24000</v>
      </c>
      <c r="T334" s="145">
        <v>249944.26801245942</v>
      </c>
      <c r="U334" s="23">
        <f t="shared" si="38"/>
        <v>1</v>
      </c>
    </row>
    <row r="335" spans="1:70" x14ac:dyDescent="0.25">
      <c r="A335" s="102">
        <f t="shared" si="39"/>
        <v>317</v>
      </c>
      <c r="B335" s="101">
        <f t="shared" si="39"/>
        <v>129</v>
      </c>
      <c r="C335" s="73" t="s">
        <v>51</v>
      </c>
      <c r="D335" s="120" t="s">
        <v>441</v>
      </c>
      <c r="E335" s="123">
        <f t="shared" ref="E335:E399" si="40">SUBTOTAL(9,F335:T335)</f>
        <v>1835710.56090784</v>
      </c>
      <c r="F335" s="107"/>
      <c r="G335" s="107"/>
      <c r="H335" s="107"/>
      <c r="I335" s="107">
        <v>1155001.04</v>
      </c>
      <c r="J335" s="107">
        <v>0</v>
      </c>
      <c r="K335" s="107"/>
      <c r="L335" s="107"/>
      <c r="M335" s="107">
        <v>0</v>
      </c>
      <c r="N335" s="107"/>
      <c r="O335" s="107">
        <v>0</v>
      </c>
      <c r="P335" s="107">
        <v>0</v>
      </c>
      <c r="Q335" s="107"/>
      <c r="R335" s="107">
        <v>160007.0122</v>
      </c>
      <c r="S335" s="108">
        <v>37048.782200000001</v>
      </c>
      <c r="T335" s="145">
        <v>483653.72650783998</v>
      </c>
      <c r="U335" s="23">
        <f t="shared" si="38"/>
        <v>1</v>
      </c>
      <c r="V335" s="1" t="s">
        <v>146</v>
      </c>
    </row>
    <row r="336" spans="1:70" x14ac:dyDescent="0.25">
      <c r="A336" s="102">
        <f t="shared" ref="A336:B351" si="41">+A335+1</f>
        <v>318</v>
      </c>
      <c r="B336" s="101">
        <f t="shared" si="41"/>
        <v>130</v>
      </c>
      <c r="C336" s="73" t="s">
        <v>51</v>
      </c>
      <c r="D336" s="120" t="s">
        <v>491</v>
      </c>
      <c r="E336" s="123">
        <f t="shared" si="40"/>
        <v>1024198.037306</v>
      </c>
      <c r="F336" s="107"/>
      <c r="G336" s="107"/>
      <c r="H336" s="107"/>
      <c r="I336" s="107"/>
      <c r="J336" s="107">
        <v>1013323.25</v>
      </c>
      <c r="K336" s="107"/>
      <c r="L336" s="107"/>
      <c r="M336" s="107"/>
      <c r="N336" s="107"/>
      <c r="O336" s="107"/>
      <c r="P336" s="107"/>
      <c r="Q336" s="107"/>
      <c r="R336" s="107"/>
      <c r="S336" s="108"/>
      <c r="T336" s="145">
        <v>10874.787306</v>
      </c>
      <c r="U336" s="23">
        <f t="shared" si="38"/>
        <v>1</v>
      </c>
    </row>
    <row r="337" spans="1:22" x14ac:dyDescent="0.25">
      <c r="A337" s="102">
        <f t="shared" si="41"/>
        <v>319</v>
      </c>
      <c r="B337" s="101">
        <f t="shared" si="41"/>
        <v>131</v>
      </c>
      <c r="C337" s="73" t="s">
        <v>51</v>
      </c>
      <c r="D337" s="120" t="s">
        <v>492</v>
      </c>
      <c r="E337" s="123">
        <f t="shared" si="40"/>
        <v>1245038.665028</v>
      </c>
      <c r="F337" s="107"/>
      <c r="G337" s="107"/>
      <c r="H337" s="107"/>
      <c r="I337" s="107"/>
      <c r="J337" s="107">
        <v>1240916.79</v>
      </c>
      <c r="K337" s="107"/>
      <c r="L337" s="107"/>
      <c r="M337" s="107"/>
      <c r="N337" s="107"/>
      <c r="O337" s="107"/>
      <c r="P337" s="107"/>
      <c r="Q337" s="107">
        <v>0</v>
      </c>
      <c r="R337" s="107"/>
      <c r="S337" s="108"/>
      <c r="T337" s="145">
        <v>4121.8750279999986</v>
      </c>
      <c r="U337" s="23">
        <f t="shared" si="38"/>
        <v>1</v>
      </c>
    </row>
    <row r="338" spans="1:22" x14ac:dyDescent="0.25">
      <c r="A338" s="102">
        <f t="shared" si="41"/>
        <v>320</v>
      </c>
      <c r="B338" s="101">
        <f t="shared" si="41"/>
        <v>132</v>
      </c>
      <c r="C338" s="73" t="s">
        <v>51</v>
      </c>
      <c r="D338" s="120" t="s">
        <v>443</v>
      </c>
      <c r="E338" s="133">
        <f t="shared" si="40"/>
        <v>542862</v>
      </c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>
        <v>542862</v>
      </c>
      <c r="Q338" s="107"/>
      <c r="R338" s="107"/>
      <c r="S338" s="108"/>
      <c r="T338" s="145"/>
      <c r="U338" s="23">
        <f t="shared" si="38"/>
        <v>1</v>
      </c>
      <c r="V338" s="41" t="s">
        <v>251</v>
      </c>
    </row>
    <row r="339" spans="1:22" s="41" customFormat="1" x14ac:dyDescent="0.25">
      <c r="A339" s="102">
        <f t="shared" si="41"/>
        <v>321</v>
      </c>
      <c r="B339" s="101">
        <f t="shared" si="41"/>
        <v>133</v>
      </c>
      <c r="C339" s="73" t="s">
        <v>51</v>
      </c>
      <c r="D339" s="120" t="s">
        <v>119</v>
      </c>
      <c r="E339" s="123">
        <f t="shared" si="40"/>
        <v>73380912.513798714</v>
      </c>
      <c r="F339" s="107">
        <v>8835258.7268668804</v>
      </c>
      <c r="G339" s="107">
        <v>5161965.2787407041</v>
      </c>
      <c r="H339" s="107">
        <v>5569271.4127483098</v>
      </c>
      <c r="I339" s="107">
        <v>4295867.3561627036</v>
      </c>
      <c r="J339" s="107">
        <v>2018239.6388054877</v>
      </c>
      <c r="K339" s="107"/>
      <c r="L339" s="107">
        <v>418101.46163142752</v>
      </c>
      <c r="M339" s="107"/>
      <c r="N339" s="107"/>
      <c r="O339" s="107"/>
      <c r="P339" s="107">
        <v>31664608.563177813</v>
      </c>
      <c r="Q339" s="107">
        <v>12348392.029822793</v>
      </c>
      <c r="R339" s="107">
        <v>1482907.8558986555</v>
      </c>
      <c r="S339" s="107">
        <v>48725.618500800003</v>
      </c>
      <c r="T339" s="153">
        <v>1537574.5714431447</v>
      </c>
      <c r="U339" s="23">
        <f t="shared" si="38"/>
        <v>8</v>
      </c>
    </row>
    <row r="340" spans="1:22" s="41" customFormat="1" x14ac:dyDescent="0.25">
      <c r="A340" s="102">
        <f t="shared" si="41"/>
        <v>322</v>
      </c>
      <c r="B340" s="101">
        <f t="shared" si="41"/>
        <v>134</v>
      </c>
      <c r="C340" s="73" t="s">
        <v>51</v>
      </c>
      <c r="D340" s="120" t="s">
        <v>493</v>
      </c>
      <c r="E340" s="123">
        <f t="shared" si="40"/>
        <v>71696112.560389429</v>
      </c>
      <c r="F340" s="107">
        <v>8624090.4981803056</v>
      </c>
      <c r="G340" s="107">
        <v>5036444.3060622429</v>
      </c>
      <c r="H340" s="107">
        <v>5439076.9790404048</v>
      </c>
      <c r="I340" s="107">
        <v>4190749.9292622432</v>
      </c>
      <c r="J340" s="107">
        <v>1964229.2361069501</v>
      </c>
      <c r="K340" s="107"/>
      <c r="L340" s="107">
        <v>408501.9990271061</v>
      </c>
      <c r="M340" s="107"/>
      <c r="N340" s="107"/>
      <c r="O340" s="107"/>
      <c r="P340" s="107">
        <v>30921783.364401255</v>
      </c>
      <c r="Q340" s="107">
        <v>12054826.904510155</v>
      </c>
      <c r="R340" s="107">
        <v>1506877.3285040956</v>
      </c>
      <c r="S340" s="107">
        <v>48520.724843999997</v>
      </c>
      <c r="T340" s="153">
        <v>1501011.2904506847</v>
      </c>
      <c r="U340" s="23">
        <f t="shared" si="38"/>
        <v>8</v>
      </c>
    </row>
    <row r="341" spans="1:22" s="41" customFormat="1" x14ac:dyDescent="0.25">
      <c r="A341" s="102">
        <f t="shared" si="41"/>
        <v>323</v>
      </c>
      <c r="B341" s="101">
        <f t="shared" si="41"/>
        <v>135</v>
      </c>
      <c r="C341" s="73" t="s">
        <v>51</v>
      </c>
      <c r="D341" s="120" t="s">
        <v>494</v>
      </c>
      <c r="E341" s="123">
        <f t="shared" si="40"/>
        <v>5510059.6099999994</v>
      </c>
      <c r="F341" s="109"/>
      <c r="G341" s="109"/>
      <c r="H341" s="107">
        <v>3230753.86</v>
      </c>
      <c r="I341" s="109"/>
      <c r="J341" s="107">
        <v>2006081.9399205982</v>
      </c>
      <c r="K341" s="107"/>
      <c r="L341" s="107"/>
      <c r="M341" s="107"/>
      <c r="N341" s="107"/>
      <c r="O341" s="107"/>
      <c r="P341" s="107"/>
      <c r="Q341" s="154"/>
      <c r="R341" s="107">
        <v>205354.86105600002</v>
      </c>
      <c r="S341" s="107">
        <v>24000</v>
      </c>
      <c r="T341" s="153">
        <v>43868.949023401605</v>
      </c>
      <c r="U341" s="23">
        <f t="shared" si="38"/>
        <v>2</v>
      </c>
    </row>
    <row r="342" spans="1:22" x14ac:dyDescent="0.25">
      <c r="A342" s="102">
        <f t="shared" si="41"/>
        <v>324</v>
      </c>
      <c r="B342" s="101">
        <f t="shared" si="41"/>
        <v>136</v>
      </c>
      <c r="C342" s="73" t="s">
        <v>51</v>
      </c>
      <c r="D342" s="120" t="s">
        <v>495</v>
      </c>
      <c r="E342" s="123">
        <f t="shared" si="40"/>
        <v>1545862.696208</v>
      </c>
      <c r="F342" s="107">
        <v>0</v>
      </c>
      <c r="G342" s="107"/>
      <c r="H342" s="107"/>
      <c r="I342" s="107"/>
      <c r="J342" s="107">
        <v>1007894.07</v>
      </c>
      <c r="K342" s="107"/>
      <c r="L342" s="107"/>
      <c r="M342" s="107">
        <v>0</v>
      </c>
      <c r="N342" s="107">
        <v>0</v>
      </c>
      <c r="O342" s="107">
        <v>0</v>
      </c>
      <c r="P342" s="107">
        <v>0</v>
      </c>
      <c r="Q342" s="107">
        <v>0</v>
      </c>
      <c r="R342" s="107">
        <v>518300.47000000003</v>
      </c>
      <c r="S342" s="107"/>
      <c r="T342" s="145">
        <v>19668.156208</v>
      </c>
      <c r="U342" s="23">
        <f t="shared" si="38"/>
        <v>1</v>
      </c>
    </row>
    <row r="343" spans="1:22" s="41" customFormat="1" x14ac:dyDescent="0.25">
      <c r="A343" s="102">
        <f t="shared" si="41"/>
        <v>325</v>
      </c>
      <c r="B343" s="101">
        <f t="shared" si="41"/>
        <v>137</v>
      </c>
      <c r="C343" s="73" t="s">
        <v>51</v>
      </c>
      <c r="D343" s="120" t="s">
        <v>496</v>
      </c>
      <c r="E343" s="123">
        <f t="shared" si="40"/>
        <v>2151481.9070239998</v>
      </c>
      <c r="F343" s="109"/>
      <c r="G343" s="109"/>
      <c r="H343" s="109"/>
      <c r="I343" s="109"/>
      <c r="J343" s="107">
        <v>1843469.3852256862</v>
      </c>
      <c r="K343" s="107"/>
      <c r="L343" s="107"/>
      <c r="M343" s="107"/>
      <c r="N343" s="107"/>
      <c r="O343" s="107"/>
      <c r="P343" s="107"/>
      <c r="Q343" s="107"/>
      <c r="R343" s="107">
        <v>267699.57999999996</v>
      </c>
      <c r="S343" s="107"/>
      <c r="T343" s="153">
        <v>40312.941798313601</v>
      </c>
      <c r="U343" s="23">
        <f t="shared" si="38"/>
        <v>1</v>
      </c>
    </row>
    <row r="344" spans="1:22" s="41" customFormat="1" x14ac:dyDescent="0.25">
      <c r="A344" s="102">
        <f t="shared" si="41"/>
        <v>326</v>
      </c>
      <c r="B344" s="101">
        <f t="shared" si="41"/>
        <v>138</v>
      </c>
      <c r="C344" s="73" t="s">
        <v>51</v>
      </c>
      <c r="D344" s="120" t="s">
        <v>497</v>
      </c>
      <c r="E344" s="123">
        <f t="shared" si="40"/>
        <v>2154465.066112</v>
      </c>
      <c r="F344" s="109"/>
      <c r="G344" s="109"/>
      <c r="H344" s="109"/>
      <c r="I344" s="109"/>
      <c r="J344" s="107">
        <v>1847918.7164512032</v>
      </c>
      <c r="K344" s="107"/>
      <c r="L344" s="107"/>
      <c r="M344" s="107"/>
      <c r="N344" s="107"/>
      <c r="O344" s="107"/>
      <c r="P344" s="107"/>
      <c r="Q344" s="107"/>
      <c r="R344" s="107">
        <v>266136.11</v>
      </c>
      <c r="S344" s="107"/>
      <c r="T344" s="153">
        <v>40410.239660796804</v>
      </c>
      <c r="U344" s="23">
        <f t="shared" si="38"/>
        <v>1</v>
      </c>
    </row>
    <row r="345" spans="1:22" s="41" customFormat="1" x14ac:dyDescent="0.25">
      <c r="A345" s="102">
        <f t="shared" si="41"/>
        <v>327</v>
      </c>
      <c r="B345" s="101">
        <f t="shared" si="41"/>
        <v>139</v>
      </c>
      <c r="C345" s="73" t="s">
        <v>51</v>
      </c>
      <c r="D345" s="120" t="s">
        <v>498</v>
      </c>
      <c r="E345" s="123">
        <f t="shared" si="40"/>
        <v>17851669.849999998</v>
      </c>
      <c r="F345" s="109"/>
      <c r="G345" s="109"/>
      <c r="H345" s="109"/>
      <c r="I345" s="107">
        <v>1613543.1522205768</v>
      </c>
      <c r="J345" s="107">
        <v>1170100.2345370059</v>
      </c>
      <c r="K345" s="107"/>
      <c r="L345" s="107"/>
      <c r="M345" s="107"/>
      <c r="N345" s="107"/>
      <c r="O345" s="107"/>
      <c r="P345" s="107">
        <v>6644076.9156807279</v>
      </c>
      <c r="Q345" s="107">
        <v>7272213.9060160564</v>
      </c>
      <c r="R345" s="107">
        <v>742671.38934712671</v>
      </c>
      <c r="S345" s="107">
        <v>43870.514143199995</v>
      </c>
      <c r="T345" s="153">
        <v>365193.73805530707</v>
      </c>
      <c r="U345" s="23">
        <f t="shared" si="38"/>
        <v>4</v>
      </c>
    </row>
    <row r="346" spans="1:22" x14ac:dyDescent="0.25">
      <c r="A346" s="102">
        <f t="shared" si="41"/>
        <v>328</v>
      </c>
      <c r="B346" s="101">
        <f t="shared" si="41"/>
        <v>140</v>
      </c>
      <c r="C346" s="73" t="s">
        <v>51</v>
      </c>
      <c r="D346" s="120" t="s">
        <v>450</v>
      </c>
      <c r="E346" s="123">
        <f t="shared" si="40"/>
        <v>43610106.900000006</v>
      </c>
      <c r="F346" s="107"/>
      <c r="G346" s="107">
        <v>5128114.1301599992</v>
      </c>
      <c r="H346" s="107">
        <v>5456239.5909000002</v>
      </c>
      <c r="I346" s="107">
        <v>4284881.5390919996</v>
      </c>
      <c r="J346" s="107"/>
      <c r="K346" s="107"/>
      <c r="L346" s="107"/>
      <c r="M346" s="107">
        <v>0</v>
      </c>
      <c r="N346" s="107">
        <v>15751030.220309999</v>
      </c>
      <c r="O346" s="107">
        <v>0</v>
      </c>
      <c r="P346" s="107"/>
      <c r="Q346" s="107">
        <v>12056585.131878</v>
      </c>
      <c r="R346" s="107"/>
      <c r="S346" s="108"/>
      <c r="T346" s="145">
        <v>933256.28766000003</v>
      </c>
      <c r="U346" s="23">
        <f t="shared" si="38"/>
        <v>5</v>
      </c>
    </row>
    <row r="347" spans="1:22" x14ac:dyDescent="0.25">
      <c r="A347" s="102">
        <f t="shared" si="41"/>
        <v>329</v>
      </c>
      <c r="B347" s="101">
        <f t="shared" si="41"/>
        <v>141</v>
      </c>
      <c r="C347" s="73" t="s">
        <v>51</v>
      </c>
      <c r="D347" s="120" t="s">
        <v>451</v>
      </c>
      <c r="E347" s="123">
        <f t="shared" si="40"/>
        <v>5731758.5462407395</v>
      </c>
      <c r="F347" s="107"/>
      <c r="G347" s="107">
        <v>1950514.3</v>
      </c>
      <c r="H347" s="107"/>
      <c r="I347" s="107">
        <v>1578269.9</v>
      </c>
      <c r="J347" s="107"/>
      <c r="K347" s="107"/>
      <c r="L347" s="107"/>
      <c r="M347" s="107"/>
      <c r="N347" s="107"/>
      <c r="O347" s="107"/>
      <c r="P347" s="107"/>
      <c r="Q347" s="107">
        <v>1144560.06</v>
      </c>
      <c r="R347" s="107"/>
      <c r="S347" s="108"/>
      <c r="T347" s="145">
        <v>1058414.2862407397</v>
      </c>
      <c r="U347" s="23">
        <f t="shared" si="38"/>
        <v>3</v>
      </c>
      <c r="V347" s="1" t="s">
        <v>146</v>
      </c>
    </row>
    <row r="348" spans="1:22" x14ac:dyDescent="0.25">
      <c r="A348" s="102">
        <f t="shared" si="41"/>
        <v>330</v>
      </c>
      <c r="B348" s="101">
        <f t="shared" si="41"/>
        <v>142</v>
      </c>
      <c r="C348" s="73" t="s">
        <v>51</v>
      </c>
      <c r="D348" s="120" t="s">
        <v>452</v>
      </c>
      <c r="E348" s="123">
        <f t="shared" si="40"/>
        <v>5272961.0065099401</v>
      </c>
      <c r="F348" s="107">
        <v>3719699.05</v>
      </c>
      <c r="G348" s="107">
        <v>1397547.49</v>
      </c>
      <c r="H348" s="107"/>
      <c r="I348" s="107"/>
      <c r="J348" s="107"/>
      <c r="K348" s="107"/>
      <c r="L348" s="107"/>
      <c r="M348" s="107">
        <v>0</v>
      </c>
      <c r="N348" s="107">
        <v>0</v>
      </c>
      <c r="O348" s="107">
        <v>0</v>
      </c>
      <c r="P348" s="107"/>
      <c r="Q348" s="107">
        <v>0</v>
      </c>
      <c r="R348" s="107"/>
      <c r="S348" s="108"/>
      <c r="T348" s="145">
        <v>155714.46650994002</v>
      </c>
      <c r="U348" s="23">
        <f t="shared" ref="U348:U379" si="42">COUNTIF(F348:Q348,"&gt;0")</f>
        <v>2</v>
      </c>
    </row>
    <row r="349" spans="1:22" x14ac:dyDescent="0.25">
      <c r="A349" s="102">
        <f t="shared" si="41"/>
        <v>331</v>
      </c>
      <c r="B349" s="101">
        <f t="shared" si="41"/>
        <v>143</v>
      </c>
      <c r="C349" s="73" t="s">
        <v>51</v>
      </c>
      <c r="D349" s="120" t="s">
        <v>447</v>
      </c>
      <c r="E349" s="123">
        <f t="shared" si="40"/>
        <v>5463977.5993955806</v>
      </c>
      <c r="F349" s="107">
        <v>3176406.16</v>
      </c>
      <c r="G349" s="107">
        <v>1063489.17</v>
      </c>
      <c r="H349" s="107">
        <v>0</v>
      </c>
      <c r="I349" s="107">
        <v>1045305.74</v>
      </c>
      <c r="J349" s="107"/>
      <c r="K349" s="107"/>
      <c r="L349" s="107"/>
      <c r="M349" s="107">
        <v>0</v>
      </c>
      <c r="N349" s="107">
        <v>0</v>
      </c>
      <c r="O349" s="107">
        <v>0</v>
      </c>
      <c r="P349" s="107"/>
      <c r="Q349" s="107">
        <v>0</v>
      </c>
      <c r="R349" s="107"/>
      <c r="S349" s="108"/>
      <c r="T349" s="145">
        <v>178776.52939558003</v>
      </c>
      <c r="U349" s="23">
        <f t="shared" si="42"/>
        <v>3</v>
      </c>
    </row>
    <row r="350" spans="1:22" x14ac:dyDescent="0.25">
      <c r="A350" s="102">
        <f t="shared" si="41"/>
        <v>332</v>
      </c>
      <c r="B350" s="101">
        <f t="shared" si="41"/>
        <v>144</v>
      </c>
      <c r="C350" s="73" t="s">
        <v>51</v>
      </c>
      <c r="D350" s="120" t="s">
        <v>499</v>
      </c>
      <c r="E350" s="123">
        <f t="shared" si="40"/>
        <v>6918791.5024397802</v>
      </c>
      <c r="F350" s="107">
        <v>3719699.05</v>
      </c>
      <c r="G350" s="107">
        <v>1063489.17</v>
      </c>
      <c r="H350" s="107">
        <v>671766.41</v>
      </c>
      <c r="I350" s="107">
        <v>1307914.6300000001</v>
      </c>
      <c r="J350" s="107"/>
      <c r="K350" s="107"/>
      <c r="L350" s="107"/>
      <c r="M350" s="107">
        <v>0</v>
      </c>
      <c r="N350" s="107">
        <v>0</v>
      </c>
      <c r="O350" s="107">
        <v>0</v>
      </c>
      <c r="P350" s="107"/>
      <c r="Q350" s="107">
        <v>0</v>
      </c>
      <c r="R350" s="107"/>
      <c r="S350" s="108"/>
      <c r="T350" s="145">
        <v>155922.24243978004</v>
      </c>
      <c r="U350" s="23">
        <f t="shared" si="42"/>
        <v>4</v>
      </c>
    </row>
    <row r="351" spans="1:22" x14ac:dyDescent="0.25">
      <c r="A351" s="102">
        <f t="shared" si="41"/>
        <v>333</v>
      </c>
      <c r="B351" s="101">
        <f t="shared" si="41"/>
        <v>145</v>
      </c>
      <c r="C351" s="73" t="s">
        <v>63</v>
      </c>
      <c r="D351" s="120" t="s">
        <v>567</v>
      </c>
      <c r="E351" s="123">
        <f t="shared" si="40"/>
        <v>5484113.5200000005</v>
      </c>
      <c r="F351" s="107">
        <v>2690748.568494</v>
      </c>
      <c r="G351" s="107">
        <v>1668343.007394</v>
      </c>
      <c r="H351" s="107"/>
      <c r="I351" s="107">
        <v>685043.90719799988</v>
      </c>
      <c r="J351" s="107">
        <v>0</v>
      </c>
      <c r="K351" s="107"/>
      <c r="L351" s="107">
        <v>262232.90488164005</v>
      </c>
      <c r="M351" s="107">
        <v>0</v>
      </c>
      <c r="N351" s="107">
        <v>0</v>
      </c>
      <c r="O351" s="107">
        <v>0</v>
      </c>
      <c r="P351" s="107">
        <v>0</v>
      </c>
      <c r="Q351" s="107">
        <v>0</v>
      </c>
      <c r="R351" s="107">
        <v>40971.241300000002</v>
      </c>
      <c r="S351" s="108">
        <v>20734.3613</v>
      </c>
      <c r="T351" s="145">
        <v>116039.52943236002</v>
      </c>
      <c r="U351" s="23">
        <f t="shared" si="42"/>
        <v>4</v>
      </c>
    </row>
    <row r="352" spans="1:22" x14ac:dyDescent="0.25">
      <c r="A352" s="102">
        <f t="shared" ref="A352:B367" si="43">+A351+1</f>
        <v>334</v>
      </c>
      <c r="B352" s="101">
        <f t="shared" si="43"/>
        <v>146</v>
      </c>
      <c r="C352" s="73" t="s">
        <v>63</v>
      </c>
      <c r="D352" s="120" t="s">
        <v>568</v>
      </c>
      <c r="E352" s="123">
        <f t="shared" si="40"/>
        <v>10279133.729999999</v>
      </c>
      <c r="F352" s="107">
        <v>4401647.2299239999</v>
      </c>
      <c r="G352" s="107">
        <v>2728944.7063199999</v>
      </c>
      <c r="H352" s="107">
        <v>1282797.7023540002</v>
      </c>
      <c r="I352" s="107">
        <v>1125093.5331300001</v>
      </c>
      <c r="J352" s="107">
        <v>0</v>
      </c>
      <c r="K352" s="107"/>
      <c r="L352" s="107">
        <v>428109.96493607998</v>
      </c>
      <c r="M352" s="107">
        <v>0</v>
      </c>
      <c r="N352" s="107">
        <v>0</v>
      </c>
      <c r="O352" s="107">
        <v>0</v>
      </c>
      <c r="P352" s="107">
        <v>0</v>
      </c>
      <c r="Q352" s="107">
        <v>0</v>
      </c>
      <c r="R352" s="107">
        <v>66127.388600000006</v>
      </c>
      <c r="S352" s="108">
        <v>28463.998599999999</v>
      </c>
      <c r="T352" s="145">
        <v>217949.20613592002</v>
      </c>
      <c r="U352" s="23">
        <f t="shared" si="42"/>
        <v>5</v>
      </c>
    </row>
    <row r="353" spans="1:22" x14ac:dyDescent="0.25">
      <c r="A353" s="102">
        <f t="shared" si="43"/>
        <v>335</v>
      </c>
      <c r="B353" s="101">
        <f t="shared" si="43"/>
        <v>147</v>
      </c>
      <c r="C353" s="73" t="s">
        <v>63</v>
      </c>
      <c r="D353" s="120" t="s">
        <v>569</v>
      </c>
      <c r="E353" s="123">
        <f t="shared" si="40"/>
        <v>5796292.5199999996</v>
      </c>
      <c r="F353" s="107">
        <v>0</v>
      </c>
      <c r="G353" s="107">
        <v>0</v>
      </c>
      <c r="H353" s="107">
        <v>0</v>
      </c>
      <c r="I353" s="107">
        <v>0</v>
      </c>
      <c r="J353" s="107">
        <v>0</v>
      </c>
      <c r="K353" s="107"/>
      <c r="L353" s="107"/>
      <c r="M353" s="107">
        <v>0</v>
      </c>
      <c r="N353" s="107">
        <v>0</v>
      </c>
      <c r="O353" s="107">
        <v>0</v>
      </c>
      <c r="P353" s="107">
        <v>5611851.8558339998</v>
      </c>
      <c r="Q353" s="107">
        <v>0</v>
      </c>
      <c r="R353" s="107">
        <v>37720.83</v>
      </c>
      <c r="S353" s="108">
        <v>24000</v>
      </c>
      <c r="T353" s="145">
        <v>122719.834166</v>
      </c>
      <c r="U353" s="23">
        <f t="shared" si="42"/>
        <v>1</v>
      </c>
    </row>
    <row r="354" spans="1:22" x14ac:dyDescent="0.25">
      <c r="A354" s="102">
        <f t="shared" si="43"/>
        <v>336</v>
      </c>
      <c r="B354" s="101">
        <f t="shared" si="43"/>
        <v>148</v>
      </c>
      <c r="C354" s="73" t="s">
        <v>54</v>
      </c>
      <c r="D354" s="120" t="s">
        <v>231</v>
      </c>
      <c r="E354" s="123">
        <f t="shared" si="40"/>
        <v>8034936.8781600008</v>
      </c>
      <c r="F354" s="107">
        <v>0</v>
      </c>
      <c r="G354" s="107">
        <v>0</v>
      </c>
      <c r="H354" s="107">
        <v>0</v>
      </c>
      <c r="I354" s="107">
        <v>0</v>
      </c>
      <c r="J354" s="107">
        <v>0</v>
      </c>
      <c r="K354" s="107"/>
      <c r="L354" s="107"/>
      <c r="M354" s="107">
        <v>0</v>
      </c>
      <c r="N354" s="107">
        <v>7785131.3600000003</v>
      </c>
      <c r="O354" s="107">
        <v>0</v>
      </c>
      <c r="P354" s="107">
        <v>0</v>
      </c>
      <c r="Q354" s="107">
        <v>0</v>
      </c>
      <c r="R354" s="107">
        <v>44378.15</v>
      </c>
      <c r="S354" s="108">
        <v>24000</v>
      </c>
      <c r="T354" s="145">
        <v>181427.36816000004</v>
      </c>
      <c r="U354" s="23">
        <f t="shared" si="42"/>
        <v>1</v>
      </c>
    </row>
    <row r="355" spans="1:22" x14ac:dyDescent="0.25">
      <c r="A355" s="102">
        <f t="shared" si="43"/>
        <v>337</v>
      </c>
      <c r="B355" s="101">
        <f t="shared" si="43"/>
        <v>149</v>
      </c>
      <c r="C355" s="73" t="s">
        <v>54</v>
      </c>
      <c r="D355" s="120" t="s">
        <v>576</v>
      </c>
      <c r="E355" s="123">
        <f t="shared" si="40"/>
        <v>4448664.1270599999</v>
      </c>
      <c r="F355" s="107">
        <v>0</v>
      </c>
      <c r="G355" s="107">
        <v>0</v>
      </c>
      <c r="H355" s="107">
        <v>0</v>
      </c>
      <c r="I355" s="107">
        <v>0</v>
      </c>
      <c r="J355" s="107">
        <v>0</v>
      </c>
      <c r="K355" s="107"/>
      <c r="L355" s="107"/>
      <c r="M355" s="107">
        <v>0</v>
      </c>
      <c r="N355" s="107">
        <v>4203546.0199999996</v>
      </c>
      <c r="O355" s="107">
        <v>0</v>
      </c>
      <c r="P355" s="107">
        <v>0</v>
      </c>
      <c r="Q355" s="107">
        <v>0</v>
      </c>
      <c r="R355" s="107">
        <v>45375.360000000001</v>
      </c>
      <c r="S355" s="108">
        <v>24000</v>
      </c>
      <c r="T355" s="145">
        <v>175742.74705999999</v>
      </c>
      <c r="U355" s="23">
        <f t="shared" si="42"/>
        <v>1</v>
      </c>
      <c r="V355" s="1" t="s">
        <v>149</v>
      </c>
    </row>
    <row r="356" spans="1:22" x14ac:dyDescent="0.25">
      <c r="A356" s="102">
        <f t="shared" si="43"/>
        <v>338</v>
      </c>
      <c r="B356" s="101">
        <f t="shared" si="43"/>
        <v>150</v>
      </c>
      <c r="C356" s="73" t="s">
        <v>54</v>
      </c>
      <c r="D356" s="120" t="s">
        <v>212</v>
      </c>
      <c r="E356" s="123">
        <f t="shared" si="40"/>
        <v>11230594.252708001</v>
      </c>
      <c r="F356" s="107">
        <v>2339408.797698</v>
      </c>
      <c r="G356" s="107">
        <v>1449960.6375240001</v>
      </c>
      <c r="H356" s="107"/>
      <c r="I356" s="107"/>
      <c r="J356" s="107">
        <v>0</v>
      </c>
      <c r="K356" s="107"/>
      <c r="L356" s="107">
        <v>228234.10595495999</v>
      </c>
      <c r="M356" s="107">
        <v>0</v>
      </c>
      <c r="N356" s="107">
        <v>6850480.8288420001</v>
      </c>
      <c r="O356" s="107">
        <v>0</v>
      </c>
      <c r="P356" s="107">
        <v>0</v>
      </c>
      <c r="Q356" s="107">
        <v>0</v>
      </c>
      <c r="R356" s="107">
        <v>99074.368199999997</v>
      </c>
      <c r="S356" s="108">
        <v>26379.8482</v>
      </c>
      <c r="T356" s="145">
        <v>237055.66628903997</v>
      </c>
      <c r="U356" s="23">
        <f t="shared" si="42"/>
        <v>4</v>
      </c>
    </row>
    <row r="357" spans="1:22" x14ac:dyDescent="0.25">
      <c r="A357" s="102">
        <f t="shared" si="43"/>
        <v>339</v>
      </c>
      <c r="B357" s="101">
        <f t="shared" si="43"/>
        <v>151</v>
      </c>
      <c r="C357" s="73" t="s">
        <v>54</v>
      </c>
      <c r="D357" s="120" t="s">
        <v>571</v>
      </c>
      <c r="E357" s="123">
        <f t="shared" si="40"/>
        <v>3488921.0602397402</v>
      </c>
      <c r="F357" s="107"/>
      <c r="G357" s="107"/>
      <c r="H357" s="107">
        <v>0</v>
      </c>
      <c r="I357" s="107">
        <v>1796569.131756</v>
      </c>
      <c r="J357" s="107"/>
      <c r="K357" s="107"/>
      <c r="L357" s="107"/>
      <c r="M357" s="107">
        <v>0</v>
      </c>
      <c r="N357" s="107">
        <v>0</v>
      </c>
      <c r="O357" s="107">
        <v>1450733.92</v>
      </c>
      <c r="P357" s="107">
        <v>0</v>
      </c>
      <c r="Q357" s="107"/>
      <c r="R357" s="107"/>
      <c r="S357" s="108"/>
      <c r="T357" s="145">
        <v>241618.00848373998</v>
      </c>
      <c r="U357" s="23">
        <f t="shared" si="42"/>
        <v>2</v>
      </c>
    </row>
    <row r="358" spans="1:22" x14ac:dyDescent="0.25">
      <c r="A358" s="102">
        <f t="shared" si="43"/>
        <v>340</v>
      </c>
      <c r="B358" s="101">
        <f t="shared" si="43"/>
        <v>152</v>
      </c>
      <c r="C358" s="73" t="s">
        <v>54</v>
      </c>
      <c r="D358" s="120" t="s">
        <v>572</v>
      </c>
      <c r="E358" s="123">
        <f t="shared" si="40"/>
        <v>578480.11581599992</v>
      </c>
      <c r="F358" s="107">
        <v>0</v>
      </c>
      <c r="G358" s="107">
        <v>0</v>
      </c>
      <c r="H358" s="107">
        <v>448683.30485999992</v>
      </c>
      <c r="I358" s="107">
        <v>0</v>
      </c>
      <c r="J358" s="107">
        <v>0</v>
      </c>
      <c r="K358" s="107"/>
      <c r="L358" s="107"/>
      <c r="M358" s="107">
        <v>0</v>
      </c>
      <c r="N358" s="107"/>
      <c r="O358" s="107">
        <v>0</v>
      </c>
      <c r="P358" s="107">
        <v>0</v>
      </c>
      <c r="Q358" s="107">
        <v>0</v>
      </c>
      <c r="R358" s="107"/>
      <c r="S358" s="108"/>
      <c r="T358" s="145">
        <v>129796.81095600002</v>
      </c>
      <c r="U358" s="23">
        <f t="shared" si="42"/>
        <v>1</v>
      </c>
    </row>
    <row r="359" spans="1:22" x14ac:dyDescent="0.25">
      <c r="A359" s="102">
        <f t="shared" si="43"/>
        <v>341</v>
      </c>
      <c r="B359" s="101">
        <f t="shared" si="43"/>
        <v>153</v>
      </c>
      <c r="C359" s="73" t="s">
        <v>54</v>
      </c>
      <c r="D359" s="120" t="s">
        <v>573</v>
      </c>
      <c r="E359" s="123">
        <f t="shared" si="40"/>
        <v>6447490.5377165601</v>
      </c>
      <c r="F359" s="107"/>
      <c r="G359" s="107">
        <v>2485979.4267953397</v>
      </c>
      <c r="H359" s="107">
        <v>0</v>
      </c>
      <c r="I359" s="107">
        <v>1626070.4809313999</v>
      </c>
      <c r="J359" s="107"/>
      <c r="K359" s="107"/>
      <c r="L359" s="107"/>
      <c r="M359" s="107">
        <v>0</v>
      </c>
      <c r="N359" s="107">
        <v>0</v>
      </c>
      <c r="O359" s="107">
        <v>2047663.62</v>
      </c>
      <c r="P359" s="107">
        <v>0</v>
      </c>
      <c r="Q359" s="107"/>
      <c r="R359" s="107"/>
      <c r="S359" s="108"/>
      <c r="T359" s="145">
        <v>287777.00998981996</v>
      </c>
      <c r="U359" s="23">
        <f t="shared" si="42"/>
        <v>3</v>
      </c>
    </row>
    <row r="360" spans="1:22" x14ac:dyDescent="0.25">
      <c r="A360" s="102">
        <f t="shared" si="43"/>
        <v>342</v>
      </c>
      <c r="B360" s="101">
        <f t="shared" si="43"/>
        <v>154</v>
      </c>
      <c r="C360" s="73" t="s">
        <v>54</v>
      </c>
      <c r="D360" s="120" t="s">
        <v>574</v>
      </c>
      <c r="E360" s="123">
        <f t="shared" si="40"/>
        <v>3056253.8263249598</v>
      </c>
      <c r="F360" s="107"/>
      <c r="G360" s="107"/>
      <c r="H360" s="107">
        <v>0</v>
      </c>
      <c r="I360" s="107">
        <v>1451323.2211791598</v>
      </c>
      <c r="J360" s="107"/>
      <c r="K360" s="107"/>
      <c r="L360" s="107"/>
      <c r="M360" s="107">
        <v>0</v>
      </c>
      <c r="N360" s="107">
        <v>0</v>
      </c>
      <c r="O360" s="107">
        <v>1396600.96</v>
      </c>
      <c r="P360" s="107">
        <v>0</v>
      </c>
      <c r="Q360" s="107"/>
      <c r="R360" s="107"/>
      <c r="S360" s="108"/>
      <c r="T360" s="145">
        <v>208329.64514579996</v>
      </c>
      <c r="U360" s="23">
        <f t="shared" si="42"/>
        <v>2</v>
      </c>
    </row>
    <row r="361" spans="1:22" x14ac:dyDescent="0.25">
      <c r="A361" s="102">
        <f t="shared" si="43"/>
        <v>343</v>
      </c>
      <c r="B361" s="101">
        <f t="shared" si="43"/>
        <v>155</v>
      </c>
      <c r="C361" s="73" t="s">
        <v>54</v>
      </c>
      <c r="D361" s="120" t="s">
        <v>575</v>
      </c>
      <c r="E361" s="123">
        <f t="shared" si="40"/>
        <v>601192.01953599998</v>
      </c>
      <c r="F361" s="107">
        <v>0</v>
      </c>
      <c r="G361" s="107">
        <v>0</v>
      </c>
      <c r="H361" s="107">
        <v>467037.62309399992</v>
      </c>
      <c r="I361" s="107">
        <v>0</v>
      </c>
      <c r="J361" s="107">
        <v>0</v>
      </c>
      <c r="K361" s="107"/>
      <c r="L361" s="107"/>
      <c r="M361" s="107">
        <v>0</v>
      </c>
      <c r="N361" s="107"/>
      <c r="O361" s="107">
        <v>0</v>
      </c>
      <c r="P361" s="107">
        <v>0</v>
      </c>
      <c r="Q361" s="107">
        <v>0</v>
      </c>
      <c r="R361" s="107"/>
      <c r="S361" s="108"/>
      <c r="T361" s="145">
        <v>134154.396442</v>
      </c>
      <c r="U361" s="23">
        <f t="shared" si="42"/>
        <v>1</v>
      </c>
    </row>
    <row r="362" spans="1:22" x14ac:dyDescent="0.25">
      <c r="A362" s="102">
        <f t="shared" si="43"/>
        <v>344</v>
      </c>
      <c r="B362" s="101">
        <f t="shared" si="43"/>
        <v>156</v>
      </c>
      <c r="C362" s="73" t="s">
        <v>54</v>
      </c>
      <c r="D362" s="120" t="s">
        <v>577</v>
      </c>
      <c r="E362" s="123">
        <f t="shared" si="40"/>
        <v>549084.61</v>
      </c>
      <c r="F362" s="107">
        <v>0</v>
      </c>
      <c r="G362" s="107">
        <v>0</v>
      </c>
      <c r="H362" s="107">
        <v>537334.19934599998</v>
      </c>
      <c r="I362" s="107">
        <v>0</v>
      </c>
      <c r="J362" s="107">
        <v>0</v>
      </c>
      <c r="K362" s="107"/>
      <c r="L362" s="107"/>
      <c r="M362" s="107">
        <v>0</v>
      </c>
      <c r="N362" s="107">
        <v>0</v>
      </c>
      <c r="O362" s="107">
        <v>0</v>
      </c>
      <c r="P362" s="107">
        <v>0</v>
      </c>
      <c r="Q362" s="107">
        <v>0</v>
      </c>
      <c r="R362" s="107"/>
      <c r="S362" s="108"/>
      <c r="T362" s="145">
        <v>11750.410653999999</v>
      </c>
      <c r="U362" s="23">
        <f t="shared" si="42"/>
        <v>1</v>
      </c>
    </row>
    <row r="363" spans="1:22" x14ac:dyDescent="0.25">
      <c r="A363" s="102">
        <f t="shared" si="43"/>
        <v>345</v>
      </c>
      <c r="B363" s="101">
        <f t="shared" si="43"/>
        <v>157</v>
      </c>
      <c r="C363" s="73" t="s">
        <v>64</v>
      </c>
      <c r="D363" s="120" t="s">
        <v>587</v>
      </c>
      <c r="E363" s="123">
        <f t="shared" si="40"/>
        <v>4035248.7116984078</v>
      </c>
      <c r="F363" s="107">
        <v>3828166.3</v>
      </c>
      <c r="G363" s="107"/>
      <c r="H363" s="107"/>
      <c r="I363" s="107"/>
      <c r="J363" s="107">
        <v>0</v>
      </c>
      <c r="K363" s="107"/>
      <c r="L363" s="107">
        <v>125708.39506661828</v>
      </c>
      <c r="M363" s="107">
        <v>0</v>
      </c>
      <c r="N363" s="107">
        <v>0</v>
      </c>
      <c r="O363" s="107">
        <v>0</v>
      </c>
      <c r="P363" s="107">
        <v>0</v>
      </c>
      <c r="Q363" s="107">
        <v>0</v>
      </c>
      <c r="R363" s="107"/>
      <c r="S363" s="108"/>
      <c r="T363" s="145">
        <v>81374.016631789709</v>
      </c>
      <c r="U363" s="23">
        <f t="shared" si="42"/>
        <v>2</v>
      </c>
    </row>
    <row r="364" spans="1:22" x14ac:dyDescent="0.25">
      <c r="A364" s="102">
        <f t="shared" si="43"/>
        <v>346</v>
      </c>
      <c r="B364" s="101">
        <f t="shared" si="43"/>
        <v>158</v>
      </c>
      <c r="C364" s="73" t="s">
        <v>64</v>
      </c>
      <c r="D364" s="120" t="s">
        <v>588</v>
      </c>
      <c r="E364" s="123">
        <f t="shared" si="40"/>
        <v>526378.2994685102</v>
      </c>
      <c r="F364" s="107"/>
      <c r="G364" s="107"/>
      <c r="H364" s="107"/>
      <c r="I364" s="107">
        <v>492037.06</v>
      </c>
      <c r="J364" s="107">
        <v>0</v>
      </c>
      <c r="K364" s="107"/>
      <c r="L364" s="107"/>
      <c r="M364" s="107">
        <v>0</v>
      </c>
      <c r="N364" s="107">
        <v>0</v>
      </c>
      <c r="O364" s="107">
        <v>0</v>
      </c>
      <c r="P364" s="107">
        <v>0</v>
      </c>
      <c r="Q364" s="107">
        <v>0</v>
      </c>
      <c r="R364" s="107"/>
      <c r="S364" s="108"/>
      <c r="T364" s="145">
        <v>34341.239468510234</v>
      </c>
      <c r="U364" s="23">
        <f t="shared" si="42"/>
        <v>1</v>
      </c>
    </row>
    <row r="365" spans="1:22" x14ac:dyDescent="0.25">
      <c r="A365" s="102">
        <f t="shared" si="43"/>
        <v>347</v>
      </c>
      <c r="B365" s="101">
        <f t="shared" si="43"/>
        <v>159</v>
      </c>
      <c r="C365" s="73" t="s">
        <v>64</v>
      </c>
      <c r="D365" s="120" t="s">
        <v>589</v>
      </c>
      <c r="E365" s="123">
        <f t="shared" si="40"/>
        <v>520542.46</v>
      </c>
      <c r="F365" s="107"/>
      <c r="G365" s="107"/>
      <c r="H365" s="107"/>
      <c r="I365" s="107">
        <v>520542.46</v>
      </c>
      <c r="J365" s="107"/>
      <c r="K365" s="107"/>
      <c r="L365" s="107"/>
      <c r="M365" s="107"/>
      <c r="N365" s="107"/>
      <c r="O365" s="107"/>
      <c r="P365" s="107"/>
      <c r="Q365" s="107"/>
      <c r="R365" s="107"/>
      <c r="S365" s="108"/>
      <c r="T365" s="145"/>
      <c r="U365" s="23">
        <f t="shared" si="42"/>
        <v>1</v>
      </c>
    </row>
    <row r="366" spans="1:22" x14ac:dyDescent="0.25">
      <c r="A366" s="102">
        <f t="shared" si="43"/>
        <v>348</v>
      </c>
      <c r="B366" s="101">
        <f t="shared" si="43"/>
        <v>160</v>
      </c>
      <c r="C366" s="73" t="s">
        <v>64</v>
      </c>
      <c r="D366" s="120" t="s">
        <v>590</v>
      </c>
      <c r="E366" s="123">
        <f t="shared" si="40"/>
        <v>1947788.4374377711</v>
      </c>
      <c r="F366" s="107"/>
      <c r="G366" s="107"/>
      <c r="H366" s="107">
        <v>1910484.53</v>
      </c>
      <c r="I366" s="107">
        <v>0</v>
      </c>
      <c r="J366" s="107">
        <v>0</v>
      </c>
      <c r="K366" s="107"/>
      <c r="L366" s="107"/>
      <c r="M366" s="107">
        <v>0</v>
      </c>
      <c r="N366" s="107">
        <v>0</v>
      </c>
      <c r="O366" s="107">
        <v>0</v>
      </c>
      <c r="P366" s="107">
        <v>0</v>
      </c>
      <c r="Q366" s="107">
        <v>0</v>
      </c>
      <c r="R366" s="107"/>
      <c r="S366" s="108"/>
      <c r="T366" s="145">
        <v>37303.907437771006</v>
      </c>
      <c r="U366" s="23">
        <f t="shared" si="42"/>
        <v>1</v>
      </c>
    </row>
    <row r="367" spans="1:22" x14ac:dyDescent="0.25">
      <c r="A367" s="102">
        <f t="shared" si="43"/>
        <v>349</v>
      </c>
      <c r="B367" s="101">
        <f t="shared" si="43"/>
        <v>161</v>
      </c>
      <c r="C367" s="73" t="s">
        <v>64</v>
      </c>
      <c r="D367" s="120" t="s">
        <v>591</v>
      </c>
      <c r="E367" s="123">
        <f t="shared" si="40"/>
        <v>1365207.499136603</v>
      </c>
      <c r="F367" s="107"/>
      <c r="G367" s="107"/>
      <c r="H367" s="107">
        <v>1342966.97</v>
      </c>
      <c r="I367" s="107">
        <v>0</v>
      </c>
      <c r="J367" s="107">
        <v>0</v>
      </c>
      <c r="K367" s="107"/>
      <c r="L367" s="107"/>
      <c r="M367" s="107">
        <v>0</v>
      </c>
      <c r="N367" s="107">
        <v>0</v>
      </c>
      <c r="O367" s="107">
        <v>0</v>
      </c>
      <c r="P367" s="107">
        <v>0</v>
      </c>
      <c r="Q367" s="107">
        <v>0</v>
      </c>
      <c r="R367" s="107"/>
      <c r="S367" s="108"/>
      <c r="T367" s="145">
        <v>22240.529136603051</v>
      </c>
      <c r="U367" s="23">
        <f t="shared" si="42"/>
        <v>1</v>
      </c>
    </row>
    <row r="368" spans="1:22" x14ac:dyDescent="0.25">
      <c r="A368" s="102">
        <f t="shared" ref="A368:B383" si="44">+A367+1</f>
        <v>350</v>
      </c>
      <c r="B368" s="101">
        <f t="shared" si="44"/>
        <v>162</v>
      </c>
      <c r="C368" s="73" t="s">
        <v>64</v>
      </c>
      <c r="D368" s="120" t="s">
        <v>592</v>
      </c>
      <c r="E368" s="123">
        <f t="shared" si="40"/>
        <v>6350031.4946001265</v>
      </c>
      <c r="F368" s="107">
        <v>0</v>
      </c>
      <c r="G368" s="107">
        <v>0</v>
      </c>
      <c r="H368" s="107">
        <v>3751583.61</v>
      </c>
      <c r="I368" s="107">
        <v>2478946.2599999998</v>
      </c>
      <c r="J368" s="107">
        <v>0</v>
      </c>
      <c r="K368" s="107"/>
      <c r="L368" s="107"/>
      <c r="M368" s="107">
        <v>0</v>
      </c>
      <c r="N368" s="107">
        <v>0</v>
      </c>
      <c r="O368" s="107">
        <v>0</v>
      </c>
      <c r="P368" s="107">
        <v>0</v>
      </c>
      <c r="Q368" s="107">
        <v>0</v>
      </c>
      <c r="R368" s="107"/>
      <c r="S368" s="108"/>
      <c r="T368" s="145">
        <v>119501.62460012714</v>
      </c>
      <c r="U368" s="23">
        <f t="shared" si="42"/>
        <v>2</v>
      </c>
    </row>
    <row r="369" spans="1:22" x14ac:dyDescent="0.25">
      <c r="A369" s="102">
        <f t="shared" si="44"/>
        <v>351</v>
      </c>
      <c r="B369" s="101">
        <f t="shared" si="44"/>
        <v>163</v>
      </c>
      <c r="C369" s="73" t="s">
        <v>64</v>
      </c>
      <c r="D369" s="120" t="s">
        <v>593</v>
      </c>
      <c r="E369" s="123">
        <f t="shared" si="40"/>
        <v>1949615.1872890538</v>
      </c>
      <c r="F369" s="107">
        <v>0</v>
      </c>
      <c r="G369" s="107">
        <v>0</v>
      </c>
      <c r="H369" s="107">
        <v>1912288.29</v>
      </c>
      <c r="I369" s="107">
        <v>0</v>
      </c>
      <c r="J369" s="107">
        <v>0</v>
      </c>
      <c r="K369" s="107"/>
      <c r="L369" s="107"/>
      <c r="M369" s="107">
        <v>0</v>
      </c>
      <c r="N369" s="107">
        <v>0</v>
      </c>
      <c r="O369" s="107">
        <v>0</v>
      </c>
      <c r="P369" s="107">
        <v>0</v>
      </c>
      <c r="Q369" s="107">
        <v>0</v>
      </c>
      <c r="R369" s="107"/>
      <c r="S369" s="108"/>
      <c r="T369" s="145">
        <v>37326.897289053828</v>
      </c>
      <c r="U369" s="23">
        <f t="shared" si="42"/>
        <v>1</v>
      </c>
    </row>
    <row r="370" spans="1:22" x14ac:dyDescent="0.25">
      <c r="A370" s="102">
        <f t="shared" si="44"/>
        <v>352</v>
      </c>
      <c r="B370" s="101">
        <f t="shared" si="44"/>
        <v>164</v>
      </c>
      <c r="C370" s="73" t="s">
        <v>64</v>
      </c>
      <c r="D370" s="120" t="s">
        <v>594</v>
      </c>
      <c r="E370" s="123">
        <f t="shared" si="40"/>
        <v>948573.00123749382</v>
      </c>
      <c r="F370" s="107">
        <v>0</v>
      </c>
      <c r="G370" s="107">
        <v>0</v>
      </c>
      <c r="H370" s="107">
        <v>932883.87</v>
      </c>
      <c r="I370" s="107">
        <v>0</v>
      </c>
      <c r="J370" s="107">
        <v>0</v>
      </c>
      <c r="K370" s="107"/>
      <c r="L370" s="107"/>
      <c r="M370" s="107">
        <v>0</v>
      </c>
      <c r="N370" s="107">
        <v>0</v>
      </c>
      <c r="O370" s="107">
        <v>0</v>
      </c>
      <c r="P370" s="107">
        <v>0</v>
      </c>
      <c r="Q370" s="107">
        <v>0</v>
      </c>
      <c r="R370" s="107"/>
      <c r="S370" s="108"/>
      <c r="T370" s="145">
        <v>15689.131237493779</v>
      </c>
      <c r="U370" s="23">
        <f t="shared" si="42"/>
        <v>1</v>
      </c>
    </row>
    <row r="371" spans="1:22" x14ac:dyDescent="0.25">
      <c r="A371" s="102">
        <f t="shared" si="44"/>
        <v>353</v>
      </c>
      <c r="B371" s="101">
        <f t="shared" si="44"/>
        <v>165</v>
      </c>
      <c r="C371" s="73" t="s">
        <v>64</v>
      </c>
      <c r="D371" s="120" t="s">
        <v>214</v>
      </c>
      <c r="E371" s="123">
        <f t="shared" si="40"/>
        <v>466454.1786358984</v>
      </c>
      <c r="F371" s="107"/>
      <c r="G371" s="107"/>
      <c r="H371" s="107"/>
      <c r="I371" s="107">
        <v>422534</v>
      </c>
      <c r="J371" s="107">
        <v>0</v>
      </c>
      <c r="K371" s="107"/>
      <c r="L371" s="107"/>
      <c r="M371" s="107">
        <v>0</v>
      </c>
      <c r="N371" s="107">
        <v>0</v>
      </c>
      <c r="O371" s="107">
        <v>0</v>
      </c>
      <c r="P371" s="107">
        <v>0</v>
      </c>
      <c r="Q371" s="107">
        <v>0</v>
      </c>
      <c r="R371" s="107"/>
      <c r="S371" s="108"/>
      <c r="T371" s="145">
        <v>43920.178635898366</v>
      </c>
      <c r="U371" s="23">
        <f t="shared" si="42"/>
        <v>1</v>
      </c>
    </row>
    <row r="372" spans="1:22" x14ac:dyDescent="0.25">
      <c r="A372" s="102">
        <f t="shared" si="44"/>
        <v>354</v>
      </c>
      <c r="B372" s="101">
        <f t="shared" si="44"/>
        <v>166</v>
      </c>
      <c r="C372" s="73" t="s">
        <v>64</v>
      </c>
      <c r="D372" s="120" t="s">
        <v>595</v>
      </c>
      <c r="E372" s="123">
        <f t="shared" si="40"/>
        <v>721601.24847460375</v>
      </c>
      <c r="F372" s="107">
        <v>0</v>
      </c>
      <c r="G372" s="107">
        <v>0</v>
      </c>
      <c r="H372" s="107">
        <v>709630.28</v>
      </c>
      <c r="I372" s="107">
        <v>0</v>
      </c>
      <c r="J372" s="107">
        <v>0</v>
      </c>
      <c r="K372" s="107"/>
      <c r="L372" s="107"/>
      <c r="M372" s="107">
        <v>0</v>
      </c>
      <c r="N372" s="107">
        <v>0</v>
      </c>
      <c r="O372" s="107">
        <v>0</v>
      </c>
      <c r="P372" s="107">
        <v>0</v>
      </c>
      <c r="Q372" s="107">
        <v>0</v>
      </c>
      <c r="R372" s="107"/>
      <c r="S372" s="108"/>
      <c r="T372" s="145">
        <v>11970.968474603775</v>
      </c>
      <c r="U372" s="23">
        <f t="shared" si="42"/>
        <v>1</v>
      </c>
    </row>
    <row r="373" spans="1:22" x14ac:dyDescent="0.25">
      <c r="A373" s="102">
        <f t="shared" si="44"/>
        <v>355</v>
      </c>
      <c r="B373" s="101">
        <f t="shared" si="44"/>
        <v>167</v>
      </c>
      <c r="C373" s="73" t="s">
        <v>64</v>
      </c>
      <c r="D373" s="120" t="s">
        <v>215</v>
      </c>
      <c r="E373" s="123">
        <f t="shared" si="40"/>
        <v>21093264.575755343</v>
      </c>
      <c r="F373" s="107">
        <v>0</v>
      </c>
      <c r="G373" s="107">
        <v>0</v>
      </c>
      <c r="H373" s="107">
        <v>0</v>
      </c>
      <c r="I373" s="107">
        <v>0</v>
      </c>
      <c r="J373" s="107">
        <v>0</v>
      </c>
      <c r="K373" s="107"/>
      <c r="L373" s="107"/>
      <c r="M373" s="107">
        <v>0</v>
      </c>
      <c r="N373" s="107">
        <v>20690674.18</v>
      </c>
      <c r="O373" s="107">
        <v>0</v>
      </c>
      <c r="P373" s="107">
        <v>0</v>
      </c>
      <c r="Q373" s="107">
        <v>0</v>
      </c>
      <c r="R373" s="107"/>
      <c r="S373" s="108"/>
      <c r="T373" s="145">
        <v>402590.39575534349</v>
      </c>
      <c r="U373" s="23">
        <f t="shared" si="42"/>
        <v>1</v>
      </c>
    </row>
    <row r="374" spans="1:22" x14ac:dyDescent="0.25">
      <c r="A374" s="102">
        <f t="shared" si="44"/>
        <v>356</v>
      </c>
      <c r="B374" s="101">
        <f t="shared" si="44"/>
        <v>168</v>
      </c>
      <c r="C374" s="73" t="s">
        <v>64</v>
      </c>
      <c r="D374" s="120" t="s">
        <v>596</v>
      </c>
      <c r="E374" s="123">
        <f t="shared" si="40"/>
        <v>951471.1264880274</v>
      </c>
      <c r="F374" s="107"/>
      <c r="G374" s="107"/>
      <c r="H374" s="107">
        <v>935865.11</v>
      </c>
      <c r="I374" s="107">
        <v>0</v>
      </c>
      <c r="J374" s="107">
        <v>0</v>
      </c>
      <c r="K374" s="107"/>
      <c r="L374" s="107"/>
      <c r="M374" s="107">
        <v>0</v>
      </c>
      <c r="N374" s="107">
        <v>0</v>
      </c>
      <c r="O374" s="107">
        <v>0</v>
      </c>
      <c r="P374" s="107"/>
      <c r="Q374" s="107">
        <v>0</v>
      </c>
      <c r="R374" s="107"/>
      <c r="S374" s="108"/>
      <c r="T374" s="145">
        <v>15606.016488027466</v>
      </c>
      <c r="U374" s="23">
        <f t="shared" si="42"/>
        <v>1</v>
      </c>
    </row>
    <row r="375" spans="1:22" x14ac:dyDescent="0.25">
      <c r="A375" s="102">
        <f t="shared" si="44"/>
        <v>357</v>
      </c>
      <c r="B375" s="101">
        <f t="shared" si="44"/>
        <v>169</v>
      </c>
      <c r="C375" s="73" t="s">
        <v>64</v>
      </c>
      <c r="D375" s="120" t="s">
        <v>597</v>
      </c>
      <c r="E375" s="123">
        <f t="shared" si="40"/>
        <v>6917016.3592651244</v>
      </c>
      <c r="F375" s="107"/>
      <c r="G375" s="107"/>
      <c r="H375" s="107">
        <v>0</v>
      </c>
      <c r="I375" s="107">
        <v>0</v>
      </c>
      <c r="J375" s="107">
        <v>0</v>
      </c>
      <c r="K375" s="107"/>
      <c r="L375" s="107"/>
      <c r="M375" s="107">
        <v>0</v>
      </c>
      <c r="N375" s="107">
        <v>6651408.9900000002</v>
      </c>
      <c r="O375" s="107">
        <v>0</v>
      </c>
      <c r="P375" s="107"/>
      <c r="Q375" s="107">
        <v>0</v>
      </c>
      <c r="R375" s="107"/>
      <c r="S375" s="108"/>
      <c r="T375" s="145">
        <v>265607.36926512426</v>
      </c>
      <c r="U375" s="23">
        <f t="shared" si="42"/>
        <v>1</v>
      </c>
    </row>
    <row r="376" spans="1:22" x14ac:dyDescent="0.25">
      <c r="A376" s="102">
        <f t="shared" si="44"/>
        <v>358</v>
      </c>
      <c r="B376" s="101">
        <f t="shared" si="44"/>
        <v>170</v>
      </c>
      <c r="C376" s="73" t="s">
        <v>64</v>
      </c>
      <c r="D376" s="120" t="s">
        <v>598</v>
      </c>
      <c r="E376" s="123">
        <f t="shared" si="40"/>
        <v>8854298.596650539</v>
      </c>
      <c r="F376" s="107"/>
      <c r="G376" s="107"/>
      <c r="H376" s="107">
        <v>1419024.89</v>
      </c>
      <c r="I376" s="107">
        <v>0</v>
      </c>
      <c r="J376" s="107">
        <v>0</v>
      </c>
      <c r="K376" s="107"/>
      <c r="L376" s="107"/>
      <c r="M376" s="107">
        <v>0</v>
      </c>
      <c r="N376" s="107">
        <v>7127323.29</v>
      </c>
      <c r="O376" s="107">
        <v>0</v>
      </c>
      <c r="P376" s="107"/>
      <c r="Q376" s="107">
        <v>0</v>
      </c>
      <c r="R376" s="107"/>
      <c r="S376" s="108"/>
      <c r="T376" s="145">
        <v>307950.4166505388</v>
      </c>
      <c r="U376" s="23">
        <f t="shared" si="42"/>
        <v>2</v>
      </c>
    </row>
    <row r="377" spans="1:22" x14ac:dyDescent="0.25">
      <c r="A377" s="102">
        <f t="shared" si="44"/>
        <v>359</v>
      </c>
      <c r="B377" s="101">
        <f t="shared" si="44"/>
        <v>171</v>
      </c>
      <c r="C377" s="73" t="s">
        <v>64</v>
      </c>
      <c r="D377" s="120" t="s">
        <v>168</v>
      </c>
      <c r="E377" s="123">
        <f t="shared" si="40"/>
        <v>1465551.9724496503</v>
      </c>
      <c r="F377" s="107">
        <v>0</v>
      </c>
      <c r="G377" s="107">
        <v>0</v>
      </c>
      <c r="H377" s="107">
        <v>1437331.93</v>
      </c>
      <c r="I377" s="107">
        <v>0</v>
      </c>
      <c r="J377" s="107">
        <v>0</v>
      </c>
      <c r="K377" s="107"/>
      <c r="L377" s="107"/>
      <c r="M377" s="107">
        <v>0</v>
      </c>
      <c r="N377" s="107">
        <v>0</v>
      </c>
      <c r="O377" s="107">
        <v>0</v>
      </c>
      <c r="P377" s="107">
        <v>0</v>
      </c>
      <c r="Q377" s="107">
        <v>0</v>
      </c>
      <c r="R377" s="107"/>
      <c r="S377" s="108"/>
      <c r="T377" s="145">
        <v>28220.042449650358</v>
      </c>
      <c r="U377" s="23">
        <f t="shared" si="42"/>
        <v>1</v>
      </c>
    </row>
    <row r="378" spans="1:22" x14ac:dyDescent="0.25">
      <c r="A378" s="102">
        <f t="shared" si="44"/>
        <v>360</v>
      </c>
      <c r="B378" s="101">
        <f t="shared" si="44"/>
        <v>172</v>
      </c>
      <c r="C378" s="73" t="s">
        <v>64</v>
      </c>
      <c r="D378" s="120" t="s">
        <v>599</v>
      </c>
      <c r="E378" s="123">
        <f t="shared" si="40"/>
        <v>3991090.0004099631</v>
      </c>
      <c r="F378" s="107">
        <v>0</v>
      </c>
      <c r="G378" s="107">
        <v>0</v>
      </c>
      <c r="H378" s="107">
        <v>3374225.58</v>
      </c>
      <c r="I378" s="107">
        <v>548136.26</v>
      </c>
      <c r="J378" s="107">
        <v>0</v>
      </c>
      <c r="K378" s="107"/>
      <c r="L378" s="107"/>
      <c r="M378" s="107">
        <v>0</v>
      </c>
      <c r="N378" s="107">
        <v>0</v>
      </c>
      <c r="O378" s="107">
        <v>0</v>
      </c>
      <c r="P378" s="107">
        <v>0</v>
      </c>
      <c r="Q378" s="107">
        <v>0</v>
      </c>
      <c r="R378" s="107"/>
      <c r="S378" s="108"/>
      <c r="T378" s="145">
        <v>68728.160409963122</v>
      </c>
      <c r="U378" s="23">
        <f t="shared" si="42"/>
        <v>2</v>
      </c>
    </row>
    <row r="379" spans="1:22" x14ac:dyDescent="0.25">
      <c r="A379" s="102">
        <f t="shared" si="44"/>
        <v>361</v>
      </c>
      <c r="B379" s="101">
        <f t="shared" si="44"/>
        <v>173</v>
      </c>
      <c r="C379" s="73" t="s">
        <v>64</v>
      </c>
      <c r="D379" s="120" t="s">
        <v>600</v>
      </c>
      <c r="E379" s="123">
        <f t="shared" si="40"/>
        <v>3592563.7737581315</v>
      </c>
      <c r="F379" s="107">
        <v>0</v>
      </c>
      <c r="G379" s="107">
        <v>0</v>
      </c>
      <c r="H379" s="107">
        <v>3521068.21</v>
      </c>
      <c r="I379" s="107">
        <v>0</v>
      </c>
      <c r="J379" s="107">
        <v>0</v>
      </c>
      <c r="K379" s="107"/>
      <c r="L379" s="107"/>
      <c r="M379" s="107">
        <v>0</v>
      </c>
      <c r="N379" s="107">
        <v>0</v>
      </c>
      <c r="O379" s="107">
        <v>0</v>
      </c>
      <c r="P379" s="107">
        <v>0</v>
      </c>
      <c r="Q379" s="107">
        <v>0</v>
      </c>
      <c r="R379" s="107"/>
      <c r="S379" s="108"/>
      <c r="T379" s="145">
        <v>71495.56375813151</v>
      </c>
      <c r="U379" s="23">
        <f t="shared" si="42"/>
        <v>1</v>
      </c>
    </row>
    <row r="380" spans="1:22" x14ac:dyDescent="0.25">
      <c r="A380" s="102">
        <f t="shared" si="44"/>
        <v>362</v>
      </c>
      <c r="B380" s="101">
        <f t="shared" si="44"/>
        <v>174</v>
      </c>
      <c r="C380" s="73" t="s">
        <v>64</v>
      </c>
      <c r="D380" s="120" t="s">
        <v>601</v>
      </c>
      <c r="E380" s="123">
        <f t="shared" si="40"/>
        <v>640276.6</v>
      </c>
      <c r="F380" s="107"/>
      <c r="G380" s="107"/>
      <c r="H380" s="107"/>
      <c r="I380" s="107">
        <v>640276.6</v>
      </c>
      <c r="J380" s="107"/>
      <c r="K380" s="107"/>
      <c r="L380" s="107"/>
      <c r="M380" s="107"/>
      <c r="N380" s="107"/>
      <c r="O380" s="107"/>
      <c r="P380" s="107"/>
      <c r="Q380" s="107"/>
      <c r="R380" s="107"/>
      <c r="S380" s="108"/>
      <c r="T380" s="145"/>
      <c r="U380" s="23">
        <f t="shared" ref="U380:U411" si="45">COUNTIF(F380:Q380,"&gt;0")</f>
        <v>1</v>
      </c>
    </row>
    <row r="381" spans="1:22" x14ac:dyDescent="0.25">
      <c r="A381" s="102">
        <f t="shared" si="44"/>
        <v>363</v>
      </c>
      <c r="B381" s="101">
        <f t="shared" si="44"/>
        <v>175</v>
      </c>
      <c r="C381" s="73" t="s">
        <v>64</v>
      </c>
      <c r="D381" s="120" t="s">
        <v>169</v>
      </c>
      <c r="E381" s="123">
        <f t="shared" si="40"/>
        <v>3127146.275568313</v>
      </c>
      <c r="F381" s="107">
        <v>0</v>
      </c>
      <c r="G381" s="107">
        <v>0</v>
      </c>
      <c r="H381" s="107">
        <v>3067621.24</v>
      </c>
      <c r="I381" s="107">
        <v>0</v>
      </c>
      <c r="J381" s="107">
        <v>0</v>
      </c>
      <c r="K381" s="107"/>
      <c r="L381" s="107"/>
      <c r="M381" s="107">
        <v>0</v>
      </c>
      <c r="N381" s="107">
        <v>0</v>
      </c>
      <c r="O381" s="107">
        <v>0</v>
      </c>
      <c r="P381" s="107">
        <v>0</v>
      </c>
      <c r="Q381" s="107">
        <v>0</v>
      </c>
      <c r="R381" s="107"/>
      <c r="S381" s="108"/>
      <c r="T381" s="145">
        <v>59525.035568312909</v>
      </c>
      <c r="U381" s="23">
        <f t="shared" si="45"/>
        <v>1</v>
      </c>
    </row>
    <row r="382" spans="1:22" x14ac:dyDescent="0.25">
      <c r="A382" s="102">
        <f t="shared" si="44"/>
        <v>364</v>
      </c>
      <c r="B382" s="101">
        <f t="shared" si="44"/>
        <v>176</v>
      </c>
      <c r="C382" s="73" t="s">
        <v>64</v>
      </c>
      <c r="D382" s="120" t="s">
        <v>602</v>
      </c>
      <c r="E382" s="123">
        <f t="shared" si="40"/>
        <v>1357157.63</v>
      </c>
      <c r="F382" s="107"/>
      <c r="G382" s="107"/>
      <c r="H382" s="107"/>
      <c r="I382" s="107">
        <v>1357157.63</v>
      </c>
      <c r="J382" s="107"/>
      <c r="K382" s="107"/>
      <c r="L382" s="107"/>
      <c r="M382" s="107"/>
      <c r="N382" s="107"/>
      <c r="O382" s="107"/>
      <c r="P382" s="107"/>
      <c r="Q382" s="107"/>
      <c r="R382" s="107"/>
      <c r="S382" s="108"/>
      <c r="T382" s="145"/>
      <c r="U382" s="23">
        <f t="shared" si="45"/>
        <v>1</v>
      </c>
    </row>
    <row r="383" spans="1:22" x14ac:dyDescent="0.25">
      <c r="A383" s="102">
        <f t="shared" si="44"/>
        <v>365</v>
      </c>
      <c r="B383" s="101">
        <f t="shared" si="44"/>
        <v>177</v>
      </c>
      <c r="C383" s="73" t="s">
        <v>64</v>
      </c>
      <c r="D383" s="120" t="s">
        <v>603</v>
      </c>
      <c r="E383" s="123">
        <f t="shared" si="40"/>
        <v>530132.51</v>
      </c>
      <c r="F383" s="107"/>
      <c r="G383" s="107"/>
      <c r="H383" s="107"/>
      <c r="I383" s="107">
        <v>530132.51</v>
      </c>
      <c r="J383" s="107"/>
      <c r="K383" s="107"/>
      <c r="L383" s="107"/>
      <c r="M383" s="107"/>
      <c r="N383" s="107"/>
      <c r="O383" s="107"/>
      <c r="P383" s="107"/>
      <c r="Q383" s="107"/>
      <c r="R383" s="107"/>
      <c r="S383" s="108"/>
      <c r="T383" s="145"/>
      <c r="U383" s="23">
        <f t="shared" si="45"/>
        <v>1</v>
      </c>
    </row>
    <row r="384" spans="1:22" x14ac:dyDescent="0.25">
      <c r="A384" s="102">
        <f t="shared" ref="A384:B399" si="46">+A383+1</f>
        <v>366</v>
      </c>
      <c r="B384" s="101">
        <f t="shared" si="46"/>
        <v>178</v>
      </c>
      <c r="C384" s="73" t="s">
        <v>55</v>
      </c>
      <c r="D384" s="120" t="s">
        <v>584</v>
      </c>
      <c r="E384" s="123">
        <f t="shared" si="40"/>
        <v>3025771.3497837</v>
      </c>
      <c r="F384" s="107">
        <v>0</v>
      </c>
      <c r="G384" s="107">
        <v>0</v>
      </c>
      <c r="H384" s="107">
        <v>0</v>
      </c>
      <c r="I384" s="107">
        <v>0</v>
      </c>
      <c r="J384" s="107">
        <v>0</v>
      </c>
      <c r="K384" s="107"/>
      <c r="L384" s="107"/>
      <c r="M384" s="107">
        <v>0</v>
      </c>
      <c r="N384" s="107"/>
      <c r="O384" s="107">
        <v>0</v>
      </c>
      <c r="P384" s="107">
        <v>0</v>
      </c>
      <c r="Q384" s="107">
        <v>1825581.15</v>
      </c>
      <c r="R384" s="107"/>
      <c r="S384" s="108"/>
      <c r="T384" s="145">
        <v>1200190.1997837001</v>
      </c>
      <c r="U384" s="23">
        <f t="shared" si="45"/>
        <v>1</v>
      </c>
      <c r="V384" s="1" t="s">
        <v>146</v>
      </c>
    </row>
    <row r="385" spans="1:26" x14ac:dyDescent="0.25">
      <c r="A385" s="102">
        <f t="shared" si="46"/>
        <v>367</v>
      </c>
      <c r="B385" s="101">
        <f t="shared" si="46"/>
        <v>179</v>
      </c>
      <c r="C385" s="73" t="s">
        <v>55</v>
      </c>
      <c r="D385" s="120" t="s">
        <v>170</v>
      </c>
      <c r="E385" s="123">
        <f t="shared" si="40"/>
        <v>1422083.61</v>
      </c>
      <c r="F385" s="107"/>
      <c r="G385" s="107"/>
      <c r="H385" s="107">
        <v>758098.38</v>
      </c>
      <c r="I385" s="107">
        <v>627792.72</v>
      </c>
      <c r="J385" s="107">
        <v>0</v>
      </c>
      <c r="K385" s="107"/>
      <c r="L385" s="107"/>
      <c r="M385" s="107">
        <v>0</v>
      </c>
      <c r="N385" s="107"/>
      <c r="O385" s="107">
        <v>0</v>
      </c>
      <c r="P385" s="107">
        <v>0</v>
      </c>
      <c r="Q385" s="107">
        <v>0</v>
      </c>
      <c r="R385" s="144"/>
      <c r="S385" s="144"/>
      <c r="T385" s="145">
        <v>36192.51</v>
      </c>
      <c r="U385" s="23">
        <f t="shared" si="45"/>
        <v>2</v>
      </c>
      <c r="V385" s="1" t="s">
        <v>146</v>
      </c>
    </row>
    <row r="386" spans="1:26" x14ac:dyDescent="0.25">
      <c r="A386" s="102">
        <f t="shared" si="46"/>
        <v>368</v>
      </c>
      <c r="B386" s="101">
        <f t="shared" si="46"/>
        <v>180</v>
      </c>
      <c r="C386" s="73" t="s">
        <v>55</v>
      </c>
      <c r="D386" s="120" t="s">
        <v>583</v>
      </c>
      <c r="E386" s="123">
        <f t="shared" si="40"/>
        <v>17842345.117532</v>
      </c>
      <c r="F386" s="107">
        <v>5015996.87</v>
      </c>
      <c r="G386" s="107">
        <v>2161426.54</v>
      </c>
      <c r="H386" s="107">
        <v>2221327.14</v>
      </c>
      <c r="I386" s="107">
        <v>1568575.74</v>
      </c>
      <c r="J386" s="107"/>
      <c r="K386" s="107"/>
      <c r="L386" s="107"/>
      <c r="M386" s="107"/>
      <c r="N386" s="107"/>
      <c r="O386" s="107">
        <v>0</v>
      </c>
      <c r="P386" s="107"/>
      <c r="Q386" s="107">
        <v>6200769.6399999997</v>
      </c>
      <c r="R386" s="107"/>
      <c r="S386" s="108"/>
      <c r="T386" s="145">
        <v>674249.18753199989</v>
      </c>
      <c r="U386" s="23">
        <f t="shared" si="45"/>
        <v>5</v>
      </c>
      <c r="V386" s="1" t="s">
        <v>146</v>
      </c>
    </row>
    <row r="387" spans="1:26" x14ac:dyDescent="0.25">
      <c r="A387" s="102">
        <f t="shared" si="46"/>
        <v>369</v>
      </c>
      <c r="B387" s="101">
        <f t="shared" si="46"/>
        <v>181</v>
      </c>
      <c r="C387" s="73" t="s">
        <v>65</v>
      </c>
      <c r="D387" s="120" t="s">
        <v>585</v>
      </c>
      <c r="E387" s="123">
        <f t="shared" si="40"/>
        <v>27822893.387377333</v>
      </c>
      <c r="F387" s="107"/>
      <c r="G387" s="107"/>
      <c r="H387" s="107">
        <v>3949042.3</v>
      </c>
      <c r="I387" s="107"/>
      <c r="J387" s="107">
        <v>0</v>
      </c>
      <c r="K387" s="107"/>
      <c r="L387" s="107"/>
      <c r="M387" s="107">
        <v>0</v>
      </c>
      <c r="N387" s="107"/>
      <c r="O387" s="107">
        <v>0</v>
      </c>
      <c r="P387" s="107">
        <v>10229706.1</v>
      </c>
      <c r="Q387" s="107">
        <v>12638125.92</v>
      </c>
      <c r="R387" s="107"/>
      <c r="S387" s="107"/>
      <c r="T387" s="145">
        <v>1006019.0673773335</v>
      </c>
      <c r="U387" s="23">
        <f t="shared" si="45"/>
        <v>3</v>
      </c>
      <c r="V387" s="1" t="s">
        <v>146</v>
      </c>
    </row>
    <row r="388" spans="1:26" s="86" customFormat="1" x14ac:dyDescent="0.25">
      <c r="A388" s="102">
        <f t="shared" si="46"/>
        <v>370</v>
      </c>
      <c r="B388" s="101">
        <f t="shared" si="46"/>
        <v>182</v>
      </c>
      <c r="C388" s="73" t="s">
        <v>45</v>
      </c>
      <c r="D388" s="120" t="s">
        <v>161</v>
      </c>
      <c r="E388" s="123">
        <f t="shared" si="40"/>
        <v>60130999.272533476</v>
      </c>
      <c r="F388" s="107">
        <v>11786769.199999999</v>
      </c>
      <c r="G388" s="107">
        <v>5983962.0899999999</v>
      </c>
      <c r="H388" s="107">
        <v>6300761.2800000003</v>
      </c>
      <c r="I388" s="107"/>
      <c r="J388" s="107"/>
      <c r="K388" s="107"/>
      <c r="L388" s="107"/>
      <c r="M388" s="107"/>
      <c r="N388" s="107">
        <v>30868652.559999999</v>
      </c>
      <c r="O388" s="107"/>
      <c r="P388" s="107"/>
      <c r="Q388" s="107">
        <v>2170343.35</v>
      </c>
      <c r="R388" s="107">
        <v>1495997.29</v>
      </c>
      <c r="S388" s="107">
        <v>43785.235980799996</v>
      </c>
      <c r="T388" s="145">
        <v>1480728.2665526769</v>
      </c>
      <c r="U388" s="23">
        <f t="shared" si="45"/>
        <v>5</v>
      </c>
      <c r="V388" s="1" t="s">
        <v>146</v>
      </c>
    </row>
    <row r="389" spans="1:26" x14ac:dyDescent="0.25">
      <c r="A389" s="102">
        <f t="shared" si="46"/>
        <v>371</v>
      </c>
      <c r="B389" s="101">
        <f t="shared" si="46"/>
        <v>183</v>
      </c>
      <c r="C389" s="73" t="s">
        <v>45</v>
      </c>
      <c r="D389" s="120" t="s">
        <v>604</v>
      </c>
      <c r="E389" s="123">
        <f t="shared" si="40"/>
        <v>7182720</v>
      </c>
      <c r="F389" s="144"/>
      <c r="G389" s="111"/>
      <c r="H389" s="107"/>
      <c r="I389" s="144"/>
      <c r="J389" s="107"/>
      <c r="K389" s="107"/>
      <c r="L389" s="107"/>
      <c r="M389" s="107">
        <v>6868490.3575085625</v>
      </c>
      <c r="N389" s="107"/>
      <c r="O389" s="107"/>
      <c r="P389" s="107"/>
      <c r="Q389" s="107"/>
      <c r="R389" s="107">
        <v>140029.66941696001</v>
      </c>
      <c r="S389" s="108">
        <v>24000</v>
      </c>
      <c r="T389" s="145">
        <v>150199.97307447705</v>
      </c>
      <c r="U389" s="23">
        <f t="shared" si="45"/>
        <v>1</v>
      </c>
      <c r="V389" s="1" t="s">
        <v>145</v>
      </c>
    </row>
    <row r="390" spans="1:26" x14ac:dyDescent="0.25">
      <c r="A390" s="102">
        <f t="shared" si="46"/>
        <v>372</v>
      </c>
      <c r="B390" s="101">
        <f t="shared" si="46"/>
        <v>184</v>
      </c>
      <c r="C390" s="73" t="s">
        <v>45</v>
      </c>
      <c r="D390" s="120" t="s">
        <v>605</v>
      </c>
      <c r="E390" s="123">
        <f t="shared" si="40"/>
        <v>1356273.2386333202</v>
      </c>
      <c r="F390" s="107"/>
      <c r="G390" s="107">
        <v>450967.71</v>
      </c>
      <c r="H390" s="107"/>
      <c r="I390" s="107">
        <v>341058.14</v>
      </c>
      <c r="J390" s="107">
        <v>0</v>
      </c>
      <c r="K390" s="107"/>
      <c r="L390" s="107"/>
      <c r="M390" s="107">
        <v>0</v>
      </c>
      <c r="N390" s="107"/>
      <c r="O390" s="107">
        <v>0</v>
      </c>
      <c r="P390" s="107"/>
      <c r="Q390" s="107">
        <v>283215.94</v>
      </c>
      <c r="R390" s="107"/>
      <c r="S390" s="108"/>
      <c r="T390" s="145">
        <v>281031.44863332005</v>
      </c>
      <c r="U390" s="23">
        <f t="shared" si="45"/>
        <v>3</v>
      </c>
      <c r="V390" s="1" t="s">
        <v>146</v>
      </c>
      <c r="Z390" s="41" t="s">
        <v>241</v>
      </c>
    </row>
    <row r="391" spans="1:26" x14ac:dyDescent="0.25">
      <c r="A391" s="102">
        <f t="shared" si="46"/>
        <v>373</v>
      </c>
      <c r="B391" s="101">
        <f t="shared" si="46"/>
        <v>185</v>
      </c>
      <c r="C391" s="73" t="s">
        <v>45</v>
      </c>
      <c r="D391" s="120" t="s">
        <v>606</v>
      </c>
      <c r="E391" s="123">
        <f t="shared" si="40"/>
        <v>1066397.1808183601</v>
      </c>
      <c r="F391" s="107"/>
      <c r="G391" s="107"/>
      <c r="H391" s="107"/>
      <c r="I391" s="107"/>
      <c r="J391" s="107">
        <v>0</v>
      </c>
      <c r="K391" s="107"/>
      <c r="L391" s="107"/>
      <c r="M391" s="107">
        <v>0</v>
      </c>
      <c r="N391" s="107">
        <v>393320.57</v>
      </c>
      <c r="O391" s="107"/>
      <c r="P391" s="107"/>
      <c r="Q391" s="107">
        <v>406759.99</v>
      </c>
      <c r="R391" s="107"/>
      <c r="S391" s="108"/>
      <c r="T391" s="145">
        <v>266316.62081835995</v>
      </c>
      <c r="U391" s="23">
        <f t="shared" si="45"/>
        <v>2</v>
      </c>
      <c r="V391" s="1" t="s">
        <v>146</v>
      </c>
    </row>
    <row r="392" spans="1:26" x14ac:dyDescent="0.25">
      <c r="A392" s="102">
        <f t="shared" si="46"/>
        <v>374</v>
      </c>
      <c r="B392" s="101">
        <f t="shared" si="46"/>
        <v>186</v>
      </c>
      <c r="C392" s="73" t="s">
        <v>45</v>
      </c>
      <c r="D392" s="120" t="s">
        <v>607</v>
      </c>
      <c r="E392" s="123">
        <f t="shared" si="40"/>
        <v>1974866.4282480001</v>
      </c>
      <c r="F392" s="107"/>
      <c r="G392" s="107"/>
      <c r="H392" s="107"/>
      <c r="I392" s="107"/>
      <c r="J392" s="107">
        <v>0</v>
      </c>
      <c r="K392" s="107"/>
      <c r="L392" s="107"/>
      <c r="M392" s="107">
        <v>0</v>
      </c>
      <c r="N392" s="107">
        <v>227029.93</v>
      </c>
      <c r="O392" s="107">
        <v>0</v>
      </c>
      <c r="P392" s="107"/>
      <c r="Q392" s="107">
        <v>1428913.34</v>
      </c>
      <c r="R392" s="107"/>
      <c r="S392" s="108"/>
      <c r="T392" s="145">
        <v>318923.15824800002</v>
      </c>
      <c r="U392" s="23">
        <f t="shared" si="45"/>
        <v>2</v>
      </c>
      <c r="V392" s="1" t="s">
        <v>146</v>
      </c>
    </row>
    <row r="393" spans="1:26" x14ac:dyDescent="0.25">
      <c r="A393" s="102">
        <f t="shared" si="46"/>
        <v>375</v>
      </c>
      <c r="B393" s="101">
        <f t="shared" si="46"/>
        <v>187</v>
      </c>
      <c r="C393" s="73" t="s">
        <v>46</v>
      </c>
      <c r="D393" s="120" t="s">
        <v>639</v>
      </c>
      <c r="E393" s="123">
        <f t="shared" si="40"/>
        <v>1324762.0579570399</v>
      </c>
      <c r="F393" s="107"/>
      <c r="G393" s="107"/>
      <c r="H393" s="107">
        <v>436138.45</v>
      </c>
      <c r="I393" s="107">
        <v>808134.48</v>
      </c>
      <c r="J393" s="107">
        <v>0</v>
      </c>
      <c r="K393" s="107"/>
      <c r="L393" s="107"/>
      <c r="M393" s="107">
        <v>0</v>
      </c>
      <c r="N393" s="107"/>
      <c r="O393" s="107">
        <v>0</v>
      </c>
      <c r="P393" s="107"/>
      <c r="Q393" s="107"/>
      <c r="R393" s="107"/>
      <c r="S393" s="108"/>
      <c r="T393" s="145">
        <v>80489.127957040007</v>
      </c>
      <c r="U393" s="23">
        <f t="shared" si="45"/>
        <v>2</v>
      </c>
      <c r="V393" s="1" t="s">
        <v>146</v>
      </c>
    </row>
    <row r="394" spans="1:26" x14ac:dyDescent="0.25">
      <c r="A394" s="102">
        <f t="shared" si="46"/>
        <v>376</v>
      </c>
      <c r="B394" s="101">
        <f t="shared" si="46"/>
        <v>188</v>
      </c>
      <c r="C394" s="73" t="s">
        <v>46</v>
      </c>
      <c r="D394" s="120" t="s">
        <v>640</v>
      </c>
      <c r="E394" s="123">
        <f t="shared" si="40"/>
        <v>5574824.3399999999</v>
      </c>
      <c r="F394" s="107">
        <v>0</v>
      </c>
      <c r="G394" s="107"/>
      <c r="H394" s="107">
        <v>5455523.0991239995</v>
      </c>
      <c r="I394" s="107">
        <v>0</v>
      </c>
      <c r="J394" s="107">
        <v>0</v>
      </c>
      <c r="K394" s="107"/>
      <c r="L394" s="107"/>
      <c r="M394" s="107">
        <v>0</v>
      </c>
      <c r="N394" s="107">
        <v>0</v>
      </c>
      <c r="O394" s="107">
        <v>0</v>
      </c>
      <c r="P394" s="107">
        <v>0</v>
      </c>
      <c r="Q394" s="107">
        <v>0</v>
      </c>
      <c r="R394" s="107"/>
      <c r="S394" s="108"/>
      <c r="T394" s="145">
        <v>119301.240876</v>
      </c>
      <c r="U394" s="23">
        <f t="shared" si="45"/>
        <v>1</v>
      </c>
    </row>
    <row r="395" spans="1:26" x14ac:dyDescent="0.25">
      <c r="A395" s="102">
        <f t="shared" si="46"/>
        <v>377</v>
      </c>
      <c r="B395" s="101">
        <f t="shared" si="46"/>
        <v>189</v>
      </c>
      <c r="C395" s="73" t="s">
        <v>46</v>
      </c>
      <c r="D395" s="120" t="s">
        <v>174</v>
      </c>
      <c r="E395" s="123">
        <f t="shared" si="40"/>
        <v>14592894.3048</v>
      </c>
      <c r="F395" s="107">
        <v>4695224.6562059997</v>
      </c>
      <c r="G395" s="107">
        <v>3264310.7159879999</v>
      </c>
      <c r="H395" s="107">
        <v>1988887.4398679999</v>
      </c>
      <c r="I395" s="107">
        <v>1830087.6300839998</v>
      </c>
      <c r="J395" s="107">
        <v>0</v>
      </c>
      <c r="K395" s="107"/>
      <c r="L395" s="107">
        <v>209268.31068528001</v>
      </c>
      <c r="M395" s="107">
        <v>0</v>
      </c>
      <c r="N395" s="107">
        <v>2292827.6138460003</v>
      </c>
      <c r="O395" s="107">
        <v>0</v>
      </c>
      <c r="P395" s="107">
        <v>0</v>
      </c>
      <c r="Q395" s="107">
        <v>0</v>
      </c>
      <c r="R395" s="107"/>
      <c r="S395" s="108"/>
      <c r="T395" s="145">
        <v>312287.93812271999</v>
      </c>
      <c r="U395" s="23">
        <f t="shared" si="45"/>
        <v>6</v>
      </c>
    </row>
    <row r="396" spans="1:26" x14ac:dyDescent="0.25">
      <c r="A396" s="102">
        <f t="shared" si="46"/>
        <v>378</v>
      </c>
      <c r="B396" s="101">
        <f t="shared" si="46"/>
        <v>190</v>
      </c>
      <c r="C396" s="73" t="s">
        <v>46</v>
      </c>
      <c r="D396" s="120" t="s">
        <v>175</v>
      </c>
      <c r="E396" s="123">
        <f t="shared" si="40"/>
        <v>2471396.1</v>
      </c>
      <c r="F396" s="107">
        <v>0</v>
      </c>
      <c r="G396" s="107">
        <v>0</v>
      </c>
      <c r="H396" s="107">
        <v>0</v>
      </c>
      <c r="I396" s="107">
        <v>0</v>
      </c>
      <c r="J396" s="107">
        <v>0</v>
      </c>
      <c r="K396" s="107"/>
      <c r="L396" s="107"/>
      <c r="M396" s="107">
        <v>0</v>
      </c>
      <c r="N396" s="107">
        <v>2418508.22346</v>
      </c>
      <c r="O396" s="107">
        <v>0</v>
      </c>
      <c r="P396" s="107">
        <v>0</v>
      </c>
      <c r="Q396" s="107">
        <v>0</v>
      </c>
      <c r="R396" s="107"/>
      <c r="S396" s="108"/>
      <c r="T396" s="145">
        <v>52887.876539999997</v>
      </c>
      <c r="U396" s="23">
        <f t="shared" si="45"/>
        <v>1</v>
      </c>
    </row>
    <row r="397" spans="1:26" x14ac:dyDescent="0.25">
      <c r="A397" s="102">
        <f t="shared" si="46"/>
        <v>379</v>
      </c>
      <c r="B397" s="101">
        <f t="shared" si="46"/>
        <v>191</v>
      </c>
      <c r="C397" s="73" t="s">
        <v>46</v>
      </c>
      <c r="D397" s="120" t="s">
        <v>625</v>
      </c>
      <c r="E397" s="123">
        <f t="shared" si="40"/>
        <v>23521550.178977139</v>
      </c>
      <c r="F397" s="107">
        <v>13963940.488183141</v>
      </c>
      <c r="G397" s="144"/>
      <c r="H397" s="144"/>
      <c r="I397" s="107">
        <v>6043467.3980940003</v>
      </c>
      <c r="J397" s="107">
        <v>0</v>
      </c>
      <c r="K397" s="107"/>
      <c r="L397" s="107">
        <v>671777.63177280012</v>
      </c>
      <c r="M397" s="107">
        <v>0</v>
      </c>
      <c r="N397" s="144"/>
      <c r="O397" s="107">
        <v>0</v>
      </c>
      <c r="P397" s="107"/>
      <c r="Q397" s="107"/>
      <c r="R397" s="107"/>
      <c r="S397" s="108"/>
      <c r="T397" s="145">
        <v>2842364.6609271998</v>
      </c>
      <c r="U397" s="23">
        <f t="shared" si="45"/>
        <v>3</v>
      </c>
    </row>
    <row r="398" spans="1:26" x14ac:dyDescent="0.25">
      <c r="A398" s="102">
        <f t="shared" si="46"/>
        <v>380</v>
      </c>
      <c r="B398" s="101">
        <f t="shared" si="46"/>
        <v>192</v>
      </c>
      <c r="C398" s="73" t="s">
        <v>46</v>
      </c>
      <c r="D398" s="120" t="s">
        <v>176</v>
      </c>
      <c r="E398" s="123">
        <f t="shared" si="40"/>
        <v>2922653.7443820001</v>
      </c>
      <c r="F398" s="107"/>
      <c r="G398" s="107"/>
      <c r="H398" s="107">
        <v>2862800.1293219998</v>
      </c>
      <c r="I398" s="107"/>
      <c r="J398" s="107">
        <v>0</v>
      </c>
      <c r="K398" s="107"/>
      <c r="L398" s="107"/>
      <c r="M398" s="107"/>
      <c r="N398" s="107"/>
      <c r="O398" s="107">
        <v>0</v>
      </c>
      <c r="P398" s="107">
        <v>0</v>
      </c>
      <c r="Q398" s="107">
        <v>0</v>
      </c>
      <c r="R398" s="107"/>
      <c r="S398" s="108"/>
      <c r="T398" s="145">
        <v>59853.615060000004</v>
      </c>
      <c r="U398" s="23">
        <f t="shared" si="45"/>
        <v>1</v>
      </c>
    </row>
    <row r="399" spans="1:26" x14ac:dyDescent="0.25">
      <c r="A399" s="102">
        <f t="shared" si="46"/>
        <v>381</v>
      </c>
      <c r="B399" s="101">
        <f t="shared" si="46"/>
        <v>193</v>
      </c>
      <c r="C399" s="73" t="s">
        <v>46</v>
      </c>
      <c r="D399" s="120" t="s">
        <v>641</v>
      </c>
      <c r="E399" s="123">
        <f t="shared" si="40"/>
        <v>2330029.3230000003</v>
      </c>
      <c r="F399" s="107">
        <v>0</v>
      </c>
      <c r="G399" s="107">
        <v>0</v>
      </c>
      <c r="H399" s="107">
        <v>0</v>
      </c>
      <c r="I399" s="107">
        <v>0</v>
      </c>
      <c r="J399" s="107">
        <v>0</v>
      </c>
      <c r="K399" s="107"/>
      <c r="L399" s="107"/>
      <c r="M399" s="107">
        <v>0</v>
      </c>
      <c r="N399" s="107">
        <v>2280166.6954878005</v>
      </c>
      <c r="O399" s="107">
        <v>0</v>
      </c>
      <c r="P399" s="107">
        <v>0</v>
      </c>
      <c r="Q399" s="107">
        <v>0</v>
      </c>
      <c r="R399" s="107"/>
      <c r="S399" s="108"/>
      <c r="T399" s="145">
        <v>49862.627512200008</v>
      </c>
      <c r="U399" s="23">
        <f t="shared" si="45"/>
        <v>1</v>
      </c>
    </row>
    <row r="400" spans="1:26" x14ac:dyDescent="0.25">
      <c r="A400" s="102">
        <f t="shared" ref="A400:B415" si="47">+A399+1</f>
        <v>382</v>
      </c>
      <c r="B400" s="101">
        <f t="shared" si="47"/>
        <v>194</v>
      </c>
      <c r="C400" s="73" t="s">
        <v>46</v>
      </c>
      <c r="D400" s="120" t="s">
        <v>177</v>
      </c>
      <c r="E400" s="123">
        <f t="shared" ref="E400:E463" si="48">SUBTOTAL(9,F400:T400)</f>
        <v>1941365.751134</v>
      </c>
      <c r="F400" s="107"/>
      <c r="G400" s="107"/>
      <c r="H400" s="107">
        <v>1904080.8091200001</v>
      </c>
      <c r="I400" s="107"/>
      <c r="J400" s="107">
        <v>0</v>
      </c>
      <c r="K400" s="107"/>
      <c r="L400" s="107"/>
      <c r="M400" s="107"/>
      <c r="N400" s="107"/>
      <c r="O400" s="107">
        <v>0</v>
      </c>
      <c r="P400" s="107">
        <v>0</v>
      </c>
      <c r="Q400" s="107">
        <v>0</v>
      </c>
      <c r="R400" s="107"/>
      <c r="S400" s="108"/>
      <c r="T400" s="145">
        <v>37284.942014</v>
      </c>
      <c r="U400" s="23">
        <f t="shared" si="45"/>
        <v>1</v>
      </c>
    </row>
    <row r="401" spans="1:21" x14ac:dyDescent="0.25">
      <c r="A401" s="102">
        <f t="shared" si="47"/>
        <v>383</v>
      </c>
      <c r="B401" s="101">
        <f t="shared" si="47"/>
        <v>195</v>
      </c>
      <c r="C401" s="73" t="s">
        <v>46</v>
      </c>
      <c r="D401" s="120" t="s">
        <v>178</v>
      </c>
      <c r="E401" s="123">
        <f t="shared" si="48"/>
        <v>1477282.3724399998</v>
      </c>
      <c r="F401" s="107"/>
      <c r="G401" s="107"/>
      <c r="H401" s="107">
        <v>1448805.3415079999</v>
      </c>
      <c r="I401" s="107"/>
      <c r="J401" s="107">
        <v>0</v>
      </c>
      <c r="K401" s="107"/>
      <c r="L401" s="107"/>
      <c r="M401" s="107"/>
      <c r="N401" s="107"/>
      <c r="O401" s="107">
        <v>0</v>
      </c>
      <c r="P401" s="107">
        <v>0</v>
      </c>
      <c r="Q401" s="107">
        <v>0</v>
      </c>
      <c r="R401" s="107"/>
      <c r="S401" s="108"/>
      <c r="T401" s="145">
        <v>28477.030932000001</v>
      </c>
      <c r="U401" s="23">
        <f t="shared" si="45"/>
        <v>1</v>
      </c>
    </row>
    <row r="402" spans="1:21" x14ac:dyDescent="0.25">
      <c r="A402" s="102">
        <f t="shared" si="47"/>
        <v>384</v>
      </c>
      <c r="B402" s="101">
        <f t="shared" si="47"/>
        <v>196</v>
      </c>
      <c r="C402" s="73" t="s">
        <v>46</v>
      </c>
      <c r="D402" s="120" t="s">
        <v>179</v>
      </c>
      <c r="E402" s="123">
        <f t="shared" si="48"/>
        <v>1889068.518868</v>
      </c>
      <c r="F402" s="107"/>
      <c r="G402" s="107"/>
      <c r="H402" s="107">
        <v>1850698.86414</v>
      </c>
      <c r="I402" s="107"/>
      <c r="J402" s="107">
        <v>0</v>
      </c>
      <c r="K402" s="107"/>
      <c r="L402" s="107"/>
      <c r="M402" s="107"/>
      <c r="N402" s="107"/>
      <c r="O402" s="107">
        <v>0</v>
      </c>
      <c r="P402" s="107">
        <v>0</v>
      </c>
      <c r="Q402" s="107">
        <v>0</v>
      </c>
      <c r="R402" s="107"/>
      <c r="S402" s="108"/>
      <c r="T402" s="145">
        <v>38369.654728000001</v>
      </c>
      <c r="U402" s="23">
        <f t="shared" si="45"/>
        <v>1</v>
      </c>
    </row>
    <row r="403" spans="1:21" x14ac:dyDescent="0.25">
      <c r="A403" s="102">
        <f t="shared" si="47"/>
        <v>385</v>
      </c>
      <c r="B403" s="101">
        <f t="shared" si="47"/>
        <v>197</v>
      </c>
      <c r="C403" s="73" t="s">
        <v>46</v>
      </c>
      <c r="D403" s="120" t="s">
        <v>233</v>
      </c>
      <c r="E403" s="123">
        <f t="shared" si="48"/>
        <v>1536021.1428999999</v>
      </c>
      <c r="F403" s="107"/>
      <c r="G403" s="107"/>
      <c r="H403" s="107">
        <v>1504229.3604659999</v>
      </c>
      <c r="I403" s="107"/>
      <c r="J403" s="107">
        <v>0</v>
      </c>
      <c r="K403" s="107"/>
      <c r="L403" s="107"/>
      <c r="M403" s="107"/>
      <c r="N403" s="107"/>
      <c r="O403" s="107">
        <v>0</v>
      </c>
      <c r="P403" s="107">
        <v>0</v>
      </c>
      <c r="Q403" s="107">
        <v>0</v>
      </c>
      <c r="R403" s="107"/>
      <c r="S403" s="108"/>
      <c r="T403" s="145">
        <v>31791.782434000001</v>
      </c>
      <c r="U403" s="23">
        <f t="shared" si="45"/>
        <v>1</v>
      </c>
    </row>
    <row r="404" spans="1:21" x14ac:dyDescent="0.25">
      <c r="A404" s="102">
        <f t="shared" si="47"/>
        <v>386</v>
      </c>
      <c r="B404" s="101">
        <f t="shared" si="47"/>
        <v>198</v>
      </c>
      <c r="C404" s="73" t="s">
        <v>46</v>
      </c>
      <c r="D404" s="120" t="s">
        <v>180</v>
      </c>
      <c r="E404" s="123">
        <f t="shared" si="48"/>
        <v>1344004.72</v>
      </c>
      <c r="F404" s="107"/>
      <c r="G404" s="107"/>
      <c r="H404" s="107">
        <v>1315243.018992</v>
      </c>
      <c r="I404" s="107"/>
      <c r="J404" s="107">
        <v>0</v>
      </c>
      <c r="K404" s="107"/>
      <c r="L404" s="107"/>
      <c r="M404" s="107"/>
      <c r="N404" s="107"/>
      <c r="O404" s="107">
        <v>0</v>
      </c>
      <c r="P404" s="107">
        <v>0</v>
      </c>
      <c r="Q404" s="107">
        <v>0</v>
      </c>
      <c r="R404" s="107"/>
      <c r="S404" s="108"/>
      <c r="T404" s="145">
        <v>28761.701008</v>
      </c>
      <c r="U404" s="23">
        <f t="shared" si="45"/>
        <v>1</v>
      </c>
    </row>
    <row r="405" spans="1:21" x14ac:dyDescent="0.25">
      <c r="A405" s="102">
        <f t="shared" si="47"/>
        <v>387</v>
      </c>
      <c r="B405" s="101">
        <f t="shared" si="47"/>
        <v>199</v>
      </c>
      <c r="C405" s="73" t="s">
        <v>46</v>
      </c>
      <c r="D405" s="120" t="s">
        <v>181</v>
      </c>
      <c r="E405" s="123">
        <f t="shared" si="48"/>
        <v>1553171.629552</v>
      </c>
      <c r="F405" s="107"/>
      <c r="G405" s="107"/>
      <c r="H405" s="107">
        <v>1521963.5496660001</v>
      </c>
      <c r="I405" s="107"/>
      <c r="J405" s="107">
        <v>0</v>
      </c>
      <c r="K405" s="107"/>
      <c r="L405" s="107"/>
      <c r="M405" s="107"/>
      <c r="N405" s="107"/>
      <c r="O405" s="107">
        <v>0</v>
      </c>
      <c r="P405" s="107">
        <v>0</v>
      </c>
      <c r="Q405" s="107">
        <v>0</v>
      </c>
      <c r="R405" s="107"/>
      <c r="S405" s="108"/>
      <c r="T405" s="145">
        <v>31208.079886000003</v>
      </c>
      <c r="U405" s="23">
        <f t="shared" si="45"/>
        <v>1</v>
      </c>
    </row>
    <row r="406" spans="1:21" x14ac:dyDescent="0.25">
      <c r="A406" s="102">
        <f t="shared" si="47"/>
        <v>388</v>
      </c>
      <c r="B406" s="101">
        <f t="shared" si="47"/>
        <v>200</v>
      </c>
      <c r="C406" s="73" t="s">
        <v>46</v>
      </c>
      <c r="D406" s="120" t="s">
        <v>182</v>
      </c>
      <c r="E406" s="123">
        <f t="shared" si="48"/>
        <v>1527666.804064</v>
      </c>
      <c r="F406" s="107"/>
      <c r="G406" s="107"/>
      <c r="H406" s="107">
        <v>1495590.896184</v>
      </c>
      <c r="I406" s="107"/>
      <c r="J406" s="107">
        <v>0</v>
      </c>
      <c r="K406" s="107"/>
      <c r="L406" s="107"/>
      <c r="M406" s="107"/>
      <c r="N406" s="107"/>
      <c r="O406" s="107">
        <v>0</v>
      </c>
      <c r="P406" s="107">
        <v>0</v>
      </c>
      <c r="Q406" s="107">
        <v>0</v>
      </c>
      <c r="R406" s="107"/>
      <c r="S406" s="108"/>
      <c r="T406" s="145">
        <v>32075.907880000002</v>
      </c>
      <c r="U406" s="23">
        <f t="shared" si="45"/>
        <v>1</v>
      </c>
    </row>
    <row r="407" spans="1:21" x14ac:dyDescent="0.25">
      <c r="A407" s="102">
        <f t="shared" si="47"/>
        <v>389</v>
      </c>
      <c r="B407" s="101">
        <f t="shared" si="47"/>
        <v>201</v>
      </c>
      <c r="C407" s="73" t="s">
        <v>46</v>
      </c>
      <c r="D407" s="120" t="s">
        <v>187</v>
      </c>
      <c r="E407" s="123">
        <f t="shared" si="48"/>
        <v>13671731.356000001</v>
      </c>
      <c r="F407" s="107">
        <v>4011119.128548</v>
      </c>
      <c r="G407" s="107"/>
      <c r="H407" s="107">
        <v>1562537.0591880002</v>
      </c>
      <c r="I407" s="107"/>
      <c r="J407" s="107">
        <v>0</v>
      </c>
      <c r="K407" s="107"/>
      <c r="L407" s="107">
        <v>122036.02529159999</v>
      </c>
      <c r="M407" s="107">
        <v>0</v>
      </c>
      <c r="N407" s="107">
        <v>7683464.0919540003</v>
      </c>
      <c r="O407" s="107">
        <v>0</v>
      </c>
      <c r="P407" s="107">
        <v>0</v>
      </c>
      <c r="Q407" s="107">
        <v>0</v>
      </c>
      <c r="R407" s="107"/>
      <c r="S407" s="108"/>
      <c r="T407" s="145">
        <v>292575.05101840006</v>
      </c>
      <c r="U407" s="23">
        <f t="shared" si="45"/>
        <v>4</v>
      </c>
    </row>
    <row r="408" spans="1:21" x14ac:dyDescent="0.25">
      <c r="A408" s="102">
        <f t="shared" si="47"/>
        <v>390</v>
      </c>
      <c r="B408" s="101">
        <f t="shared" si="47"/>
        <v>202</v>
      </c>
      <c r="C408" s="73" t="s">
        <v>46</v>
      </c>
      <c r="D408" s="120" t="s">
        <v>188</v>
      </c>
      <c r="E408" s="123">
        <f t="shared" si="48"/>
        <v>24002564.1494</v>
      </c>
      <c r="F408" s="107">
        <v>6351405.7500179997</v>
      </c>
      <c r="G408" s="107">
        <v>2342376.7642799998</v>
      </c>
      <c r="H408" s="107">
        <v>2475810.0486000003</v>
      </c>
      <c r="I408" s="107"/>
      <c r="J408" s="107">
        <v>0</v>
      </c>
      <c r="K408" s="107"/>
      <c r="L408" s="107">
        <v>192437.14870883999</v>
      </c>
      <c r="M408" s="107">
        <v>0</v>
      </c>
      <c r="N408" s="107">
        <v>12126879.564995999</v>
      </c>
      <c r="O408" s="107">
        <v>0</v>
      </c>
      <c r="P408" s="107">
        <v>0</v>
      </c>
      <c r="Q408" s="107">
        <v>0</v>
      </c>
      <c r="R408" s="107"/>
      <c r="S408" s="108"/>
      <c r="T408" s="145">
        <v>513654.87279715994</v>
      </c>
      <c r="U408" s="23">
        <f t="shared" si="45"/>
        <v>5</v>
      </c>
    </row>
    <row r="409" spans="1:21" x14ac:dyDescent="0.25">
      <c r="A409" s="102">
        <f t="shared" si="47"/>
        <v>391</v>
      </c>
      <c r="B409" s="101">
        <f t="shared" si="47"/>
        <v>203</v>
      </c>
      <c r="C409" s="73" t="s">
        <v>46</v>
      </c>
      <c r="D409" s="120" t="s">
        <v>183</v>
      </c>
      <c r="E409" s="123">
        <f t="shared" si="48"/>
        <v>2465306.1624440001</v>
      </c>
      <c r="F409" s="107"/>
      <c r="G409" s="107"/>
      <c r="H409" s="107">
        <v>2416203.8455380001</v>
      </c>
      <c r="I409" s="107"/>
      <c r="J409" s="107">
        <v>0</v>
      </c>
      <c r="K409" s="107"/>
      <c r="L409" s="107"/>
      <c r="M409" s="107"/>
      <c r="N409" s="107"/>
      <c r="O409" s="107">
        <v>0</v>
      </c>
      <c r="P409" s="107">
        <v>0</v>
      </c>
      <c r="Q409" s="107">
        <v>0</v>
      </c>
      <c r="R409" s="107"/>
      <c r="S409" s="108"/>
      <c r="T409" s="145">
        <v>49102.316905999993</v>
      </c>
      <c r="U409" s="23">
        <f t="shared" si="45"/>
        <v>1</v>
      </c>
    </row>
    <row r="410" spans="1:21" x14ac:dyDescent="0.25">
      <c r="A410" s="102">
        <f t="shared" si="47"/>
        <v>392</v>
      </c>
      <c r="B410" s="101">
        <f t="shared" si="47"/>
        <v>204</v>
      </c>
      <c r="C410" s="73" t="s">
        <v>46</v>
      </c>
      <c r="D410" s="120" t="s">
        <v>184</v>
      </c>
      <c r="E410" s="123">
        <f t="shared" si="48"/>
        <v>1582950.1937679998</v>
      </c>
      <c r="F410" s="107"/>
      <c r="G410" s="107"/>
      <c r="H410" s="107">
        <v>1551107.3145539998</v>
      </c>
      <c r="I410" s="107"/>
      <c r="J410" s="107">
        <v>0</v>
      </c>
      <c r="K410" s="107"/>
      <c r="L410" s="107"/>
      <c r="M410" s="107"/>
      <c r="N410" s="107"/>
      <c r="O410" s="107">
        <v>0</v>
      </c>
      <c r="P410" s="107">
        <v>0</v>
      </c>
      <c r="Q410" s="107">
        <v>0</v>
      </c>
      <c r="R410" s="107"/>
      <c r="S410" s="108"/>
      <c r="T410" s="145">
        <v>31842.879214000004</v>
      </c>
      <c r="U410" s="23">
        <f t="shared" si="45"/>
        <v>1</v>
      </c>
    </row>
    <row r="411" spans="1:21" x14ac:dyDescent="0.25">
      <c r="A411" s="102">
        <f t="shared" si="47"/>
        <v>393</v>
      </c>
      <c r="B411" s="101">
        <f t="shared" si="47"/>
        <v>205</v>
      </c>
      <c r="C411" s="73" t="s">
        <v>46</v>
      </c>
      <c r="D411" s="120" t="s">
        <v>185</v>
      </c>
      <c r="E411" s="123">
        <f t="shared" si="48"/>
        <v>8465154.9948999994</v>
      </c>
      <c r="F411" s="107"/>
      <c r="G411" s="107"/>
      <c r="H411" s="107">
        <v>1401560.9593595399</v>
      </c>
      <c r="I411" s="107"/>
      <c r="J411" s="107"/>
      <c r="K411" s="107"/>
      <c r="L411" s="107"/>
      <c r="M411" s="107">
        <v>0</v>
      </c>
      <c r="N411" s="107">
        <v>6882439.7186495997</v>
      </c>
      <c r="O411" s="107">
        <v>0</v>
      </c>
      <c r="P411" s="107">
        <v>0</v>
      </c>
      <c r="Q411" s="107">
        <v>0</v>
      </c>
      <c r="R411" s="107"/>
      <c r="S411" s="108"/>
      <c r="T411" s="145">
        <v>181154.31689086006</v>
      </c>
      <c r="U411" s="23">
        <f t="shared" si="45"/>
        <v>2</v>
      </c>
    </row>
    <row r="412" spans="1:21" x14ac:dyDescent="0.25">
      <c r="A412" s="102">
        <f t="shared" si="47"/>
        <v>394</v>
      </c>
      <c r="B412" s="101">
        <f t="shared" si="47"/>
        <v>206</v>
      </c>
      <c r="C412" s="73" t="s">
        <v>46</v>
      </c>
      <c r="D412" s="120" t="s">
        <v>186</v>
      </c>
      <c r="E412" s="123">
        <f t="shared" si="48"/>
        <v>8463831.2803000007</v>
      </c>
      <c r="F412" s="107"/>
      <c r="G412" s="107"/>
      <c r="H412" s="107">
        <v>1401341.7924949802</v>
      </c>
      <c r="I412" s="107"/>
      <c r="J412" s="107"/>
      <c r="K412" s="107"/>
      <c r="L412" s="107"/>
      <c r="M412" s="107">
        <v>0</v>
      </c>
      <c r="N412" s="107">
        <v>6881363.4984066002</v>
      </c>
      <c r="O412" s="107">
        <v>0</v>
      </c>
      <c r="P412" s="107">
        <v>0</v>
      </c>
      <c r="Q412" s="107">
        <v>0</v>
      </c>
      <c r="R412" s="107"/>
      <c r="S412" s="108"/>
      <c r="T412" s="145">
        <v>181125.98939842003</v>
      </c>
      <c r="U412" s="23">
        <f t="shared" ref="U412:U417" si="49">COUNTIF(F412:Q412,"&gt;0")</f>
        <v>2</v>
      </c>
    </row>
    <row r="413" spans="1:21" x14ac:dyDescent="0.25">
      <c r="A413" s="102">
        <f t="shared" si="47"/>
        <v>395</v>
      </c>
      <c r="B413" s="101">
        <f t="shared" si="47"/>
        <v>207</v>
      </c>
      <c r="C413" s="73" t="s">
        <v>46</v>
      </c>
      <c r="D413" s="120" t="s">
        <v>189</v>
      </c>
      <c r="E413" s="123">
        <f t="shared" si="48"/>
        <v>1600414.445874</v>
      </c>
      <c r="F413" s="107"/>
      <c r="G413" s="107"/>
      <c r="H413" s="107">
        <v>1568314.713588</v>
      </c>
      <c r="I413" s="107"/>
      <c r="J413" s="107"/>
      <c r="K413" s="107"/>
      <c r="L413" s="107"/>
      <c r="M413" s="107">
        <v>0</v>
      </c>
      <c r="N413" s="107"/>
      <c r="O413" s="107">
        <v>0</v>
      </c>
      <c r="P413" s="107">
        <v>0</v>
      </c>
      <c r="Q413" s="107">
        <v>0</v>
      </c>
      <c r="R413" s="107"/>
      <c r="S413" s="108"/>
      <c r="T413" s="145">
        <v>32099.732285999999</v>
      </c>
      <c r="U413" s="23">
        <f t="shared" si="49"/>
        <v>1</v>
      </c>
    </row>
    <row r="414" spans="1:21" x14ac:dyDescent="0.25">
      <c r="A414" s="102">
        <f t="shared" si="47"/>
        <v>396</v>
      </c>
      <c r="B414" s="101">
        <f t="shared" si="47"/>
        <v>208</v>
      </c>
      <c r="C414" s="73" t="s">
        <v>46</v>
      </c>
      <c r="D414" s="120" t="s">
        <v>190</v>
      </c>
      <c r="E414" s="123">
        <f t="shared" si="48"/>
        <v>9106068.5073560029</v>
      </c>
      <c r="F414" s="107"/>
      <c r="G414" s="107"/>
      <c r="H414" s="107">
        <v>1513519.582134</v>
      </c>
      <c r="I414" s="107"/>
      <c r="J414" s="107"/>
      <c r="K414" s="107"/>
      <c r="L414" s="107"/>
      <c r="M414" s="107">
        <v>0</v>
      </c>
      <c r="N414" s="107">
        <v>7398774.3793740012</v>
      </c>
      <c r="O414" s="107">
        <v>0</v>
      </c>
      <c r="P414" s="107">
        <v>0</v>
      </c>
      <c r="Q414" s="107">
        <v>0</v>
      </c>
      <c r="R414" s="107"/>
      <c r="S414" s="108"/>
      <c r="T414" s="145">
        <v>193774.54584800001</v>
      </c>
      <c r="U414" s="23">
        <f t="shared" si="49"/>
        <v>2</v>
      </c>
    </row>
    <row r="415" spans="1:21" x14ac:dyDescent="0.25">
      <c r="A415" s="102">
        <f t="shared" si="47"/>
        <v>397</v>
      </c>
      <c r="B415" s="101">
        <f t="shared" si="47"/>
        <v>209</v>
      </c>
      <c r="C415" s="73" t="s">
        <v>46</v>
      </c>
      <c r="D415" s="120" t="s">
        <v>192</v>
      </c>
      <c r="E415" s="123">
        <f t="shared" si="48"/>
        <v>9257725.9846659992</v>
      </c>
      <c r="F415" s="107"/>
      <c r="G415" s="107"/>
      <c r="H415" s="107">
        <v>1538875.675722</v>
      </c>
      <c r="I415" s="107"/>
      <c r="J415" s="107">
        <v>0</v>
      </c>
      <c r="K415" s="107"/>
      <c r="L415" s="107"/>
      <c r="M415" s="107">
        <v>0</v>
      </c>
      <c r="N415" s="107">
        <v>7521830.6773679992</v>
      </c>
      <c r="O415" s="107">
        <v>0</v>
      </c>
      <c r="P415" s="107">
        <v>0</v>
      </c>
      <c r="Q415" s="107">
        <v>0</v>
      </c>
      <c r="R415" s="107"/>
      <c r="S415" s="108"/>
      <c r="T415" s="145">
        <v>197019.63157600001</v>
      </c>
      <c r="U415" s="23">
        <f t="shared" si="49"/>
        <v>2</v>
      </c>
    </row>
    <row r="416" spans="1:21" x14ac:dyDescent="0.25">
      <c r="A416" s="102">
        <f t="shared" ref="A416:B431" si="50">+A415+1</f>
        <v>398</v>
      </c>
      <c r="B416" s="101">
        <f t="shared" si="50"/>
        <v>210</v>
      </c>
      <c r="C416" s="73" t="s">
        <v>46</v>
      </c>
      <c r="D416" s="120" t="s">
        <v>642</v>
      </c>
      <c r="E416" s="123">
        <f t="shared" si="48"/>
        <v>3110187.22</v>
      </c>
      <c r="F416" s="107">
        <v>0</v>
      </c>
      <c r="G416" s="107">
        <v>0</v>
      </c>
      <c r="H416" s="107">
        <v>3043629.213492</v>
      </c>
      <c r="I416" s="107">
        <v>0</v>
      </c>
      <c r="J416" s="107">
        <v>0</v>
      </c>
      <c r="K416" s="107"/>
      <c r="L416" s="107"/>
      <c r="M416" s="107">
        <v>0</v>
      </c>
      <c r="N416" s="107">
        <v>0</v>
      </c>
      <c r="O416" s="107">
        <v>0</v>
      </c>
      <c r="P416" s="107">
        <v>0</v>
      </c>
      <c r="Q416" s="107">
        <v>0</v>
      </c>
      <c r="R416" s="107"/>
      <c r="S416" s="108"/>
      <c r="T416" s="145">
        <v>66558.006508000006</v>
      </c>
      <c r="U416" s="23">
        <f t="shared" si="49"/>
        <v>1</v>
      </c>
    </row>
    <row r="417" spans="1:21" x14ac:dyDescent="0.25">
      <c r="A417" s="102">
        <f t="shared" si="50"/>
        <v>399</v>
      </c>
      <c r="B417" s="101">
        <f t="shared" si="50"/>
        <v>211</v>
      </c>
      <c r="C417" s="73" t="s">
        <v>46</v>
      </c>
      <c r="D417" s="120" t="s">
        <v>643</v>
      </c>
      <c r="E417" s="123">
        <f t="shared" si="48"/>
        <v>6443087.9000000004</v>
      </c>
      <c r="F417" s="107">
        <v>6305205.8189400006</v>
      </c>
      <c r="G417" s="107">
        <v>0</v>
      </c>
      <c r="H417" s="107">
        <v>0</v>
      </c>
      <c r="I417" s="107">
        <v>0</v>
      </c>
      <c r="J417" s="107">
        <v>0</v>
      </c>
      <c r="K417" s="107"/>
      <c r="L417" s="107"/>
      <c r="M417" s="107">
        <v>0</v>
      </c>
      <c r="N417" s="107">
        <v>0</v>
      </c>
      <c r="O417" s="107">
        <v>0</v>
      </c>
      <c r="P417" s="107">
        <v>0</v>
      </c>
      <c r="Q417" s="107">
        <v>0</v>
      </c>
      <c r="R417" s="107"/>
      <c r="S417" s="108"/>
      <c r="T417" s="145">
        <v>137882.08106000003</v>
      </c>
      <c r="U417" s="23">
        <f t="shared" si="49"/>
        <v>1</v>
      </c>
    </row>
    <row r="418" spans="1:21" x14ac:dyDescent="0.25">
      <c r="A418" s="102">
        <f t="shared" si="50"/>
        <v>400</v>
      </c>
      <c r="B418" s="101">
        <f t="shared" si="50"/>
        <v>212</v>
      </c>
      <c r="C418" s="73" t="s">
        <v>46</v>
      </c>
      <c r="D418" s="120" t="s">
        <v>644</v>
      </c>
      <c r="E418" s="123">
        <f t="shared" si="48"/>
        <v>287932.7</v>
      </c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>
        <v>287932.7</v>
      </c>
      <c r="R418" s="107"/>
      <c r="S418" s="108"/>
      <c r="T418" s="145"/>
      <c r="U418" s="23"/>
    </row>
    <row r="419" spans="1:21" x14ac:dyDescent="0.25">
      <c r="A419" s="102">
        <f t="shared" si="50"/>
        <v>401</v>
      </c>
      <c r="B419" s="101">
        <f t="shared" si="50"/>
        <v>213</v>
      </c>
      <c r="C419" s="73" t="s">
        <v>46</v>
      </c>
      <c r="D419" s="120" t="s">
        <v>645</v>
      </c>
      <c r="E419" s="123">
        <f t="shared" si="48"/>
        <v>20025195.280000001</v>
      </c>
      <c r="F419" s="107">
        <v>4698966.264804</v>
      </c>
      <c r="G419" s="107">
        <v>3271249.5477899997</v>
      </c>
      <c r="H419" s="107">
        <v>1989640.0224120002</v>
      </c>
      <c r="I419" s="107">
        <v>1832647.6966140002</v>
      </c>
      <c r="J419" s="107">
        <v>0</v>
      </c>
      <c r="K419" s="107"/>
      <c r="L419" s="107">
        <v>209478.56798399999</v>
      </c>
      <c r="M419" s="107">
        <v>0</v>
      </c>
      <c r="N419" s="107">
        <v>2295609.7247160003</v>
      </c>
      <c r="O419" s="107">
        <v>0</v>
      </c>
      <c r="P419" s="107">
        <v>0</v>
      </c>
      <c r="Q419" s="107">
        <v>5299064.2766880002</v>
      </c>
      <c r="R419" s="107"/>
      <c r="S419" s="108"/>
      <c r="T419" s="145">
        <v>428539.178992</v>
      </c>
      <c r="U419" s="23">
        <f t="shared" ref="U419:U450" si="51">COUNTIF(F419:Q419,"&gt;0")</f>
        <v>7</v>
      </c>
    </row>
    <row r="420" spans="1:21" x14ac:dyDescent="0.25">
      <c r="A420" s="102">
        <f t="shared" si="50"/>
        <v>402</v>
      </c>
      <c r="B420" s="101">
        <f t="shared" si="50"/>
        <v>214</v>
      </c>
      <c r="C420" s="73" t="s">
        <v>46</v>
      </c>
      <c r="D420" s="120" t="s">
        <v>646</v>
      </c>
      <c r="E420" s="123">
        <f t="shared" si="48"/>
        <v>21345856.605785996</v>
      </c>
      <c r="F420" s="107">
        <v>5008921.6874759998</v>
      </c>
      <c r="G420" s="107">
        <v>3483953.1116460003</v>
      </c>
      <c r="H420" s="107">
        <v>2121517.0782959997</v>
      </c>
      <c r="I420" s="107">
        <v>1954219.3801199999</v>
      </c>
      <c r="J420" s="107">
        <v>0</v>
      </c>
      <c r="K420" s="107"/>
      <c r="L420" s="107">
        <v>223072.98168960001</v>
      </c>
      <c r="M420" s="107">
        <v>0</v>
      </c>
      <c r="N420" s="107">
        <v>2447118.710064</v>
      </c>
      <c r="O420" s="107">
        <v>0</v>
      </c>
      <c r="P420" s="107">
        <v>0</v>
      </c>
      <c r="Q420" s="107">
        <v>5650252.325339999</v>
      </c>
      <c r="R420" s="107"/>
      <c r="S420" s="108"/>
      <c r="T420" s="145">
        <v>456801.33115439996</v>
      </c>
      <c r="U420" s="23">
        <f t="shared" si="51"/>
        <v>7</v>
      </c>
    </row>
    <row r="421" spans="1:21" x14ac:dyDescent="0.25">
      <c r="A421" s="102">
        <f t="shared" si="50"/>
        <v>403</v>
      </c>
      <c r="B421" s="101">
        <f t="shared" si="50"/>
        <v>215</v>
      </c>
      <c r="C421" s="73" t="s">
        <v>46</v>
      </c>
      <c r="D421" s="120" t="s">
        <v>647</v>
      </c>
      <c r="E421" s="123">
        <f t="shared" si="48"/>
        <v>12608792.0231</v>
      </c>
      <c r="F421" s="107">
        <v>12338963.873805661</v>
      </c>
      <c r="G421" s="107">
        <v>0</v>
      </c>
      <c r="H421" s="107">
        <v>0</v>
      </c>
      <c r="I421" s="107"/>
      <c r="J421" s="107">
        <v>0</v>
      </c>
      <c r="K421" s="107"/>
      <c r="L421" s="107"/>
      <c r="M421" s="107">
        <v>0</v>
      </c>
      <c r="N421" s="107">
        <v>0</v>
      </c>
      <c r="O421" s="107">
        <v>0</v>
      </c>
      <c r="P421" s="107"/>
      <c r="Q421" s="107"/>
      <c r="R421" s="107"/>
      <c r="S421" s="108"/>
      <c r="T421" s="145">
        <v>269828.14929433999</v>
      </c>
      <c r="U421" s="23">
        <f t="shared" si="51"/>
        <v>1</v>
      </c>
    </row>
    <row r="422" spans="1:21" x14ac:dyDescent="0.25">
      <c r="A422" s="102">
        <f t="shared" si="50"/>
        <v>404</v>
      </c>
      <c r="B422" s="101">
        <f t="shared" si="50"/>
        <v>216</v>
      </c>
      <c r="C422" s="73" t="s">
        <v>46</v>
      </c>
      <c r="D422" s="120" t="s">
        <v>222</v>
      </c>
      <c r="E422" s="123">
        <f t="shared" si="48"/>
        <v>11997336.196299998</v>
      </c>
      <c r="F422" s="107">
        <v>11740593.201699179</v>
      </c>
      <c r="G422" s="107">
        <v>0</v>
      </c>
      <c r="H422" s="107">
        <v>0</v>
      </c>
      <c r="I422" s="107">
        <v>0</v>
      </c>
      <c r="J422" s="107">
        <v>0</v>
      </c>
      <c r="K422" s="107"/>
      <c r="L422" s="107"/>
      <c r="M422" s="107">
        <v>0</v>
      </c>
      <c r="N422" s="107">
        <v>0</v>
      </c>
      <c r="O422" s="107">
        <v>0</v>
      </c>
      <c r="P422" s="107">
        <v>0</v>
      </c>
      <c r="Q422" s="107">
        <v>0</v>
      </c>
      <c r="R422" s="107"/>
      <c r="S422" s="108"/>
      <c r="T422" s="145">
        <v>256742.99460081998</v>
      </c>
      <c r="U422" s="23">
        <f t="shared" si="51"/>
        <v>1</v>
      </c>
    </row>
    <row r="423" spans="1:21" x14ac:dyDescent="0.25">
      <c r="A423" s="102">
        <f t="shared" si="50"/>
        <v>405</v>
      </c>
      <c r="B423" s="101">
        <f t="shared" si="50"/>
        <v>217</v>
      </c>
      <c r="C423" s="73" t="s">
        <v>46</v>
      </c>
      <c r="D423" s="120" t="s">
        <v>191</v>
      </c>
      <c r="E423" s="123">
        <f t="shared" si="48"/>
        <v>8799436.5950600002</v>
      </c>
      <c r="F423" s="107"/>
      <c r="G423" s="107"/>
      <c r="H423" s="107">
        <v>1454526.423042</v>
      </c>
      <c r="I423" s="107"/>
      <c r="J423" s="107">
        <v>0</v>
      </c>
      <c r="K423" s="107"/>
      <c r="L423" s="107"/>
      <c r="M423" s="107">
        <v>0</v>
      </c>
      <c r="N423" s="107">
        <v>7157698.5886560008</v>
      </c>
      <c r="O423" s="107">
        <v>0</v>
      </c>
      <c r="P423" s="107">
        <v>0</v>
      </c>
      <c r="Q423" s="107">
        <v>0</v>
      </c>
      <c r="R423" s="107"/>
      <c r="S423" s="108"/>
      <c r="T423" s="145">
        <v>187211.58336200003</v>
      </c>
      <c r="U423" s="23">
        <f t="shared" si="51"/>
        <v>2</v>
      </c>
    </row>
    <row r="424" spans="1:21" x14ac:dyDescent="0.25">
      <c r="A424" s="102">
        <f t="shared" si="50"/>
        <v>406</v>
      </c>
      <c r="B424" s="101">
        <f t="shared" si="50"/>
        <v>218</v>
      </c>
      <c r="C424" s="73" t="s">
        <v>46</v>
      </c>
      <c r="D424" s="120" t="s">
        <v>648</v>
      </c>
      <c r="E424" s="123">
        <f t="shared" si="48"/>
        <v>19723222.893742397</v>
      </c>
      <c r="F424" s="107">
        <v>14114712.016718039</v>
      </c>
      <c r="G424" s="107">
        <v>4620819.76</v>
      </c>
      <c r="H424" s="107"/>
      <c r="I424" s="107"/>
      <c r="J424" s="107"/>
      <c r="K424" s="107"/>
      <c r="L424" s="107">
        <v>679030.95234239998</v>
      </c>
      <c r="M424" s="107">
        <v>0</v>
      </c>
      <c r="N424" s="107"/>
      <c r="O424" s="107">
        <v>0</v>
      </c>
      <c r="P424" s="107"/>
      <c r="Q424" s="107"/>
      <c r="R424" s="107"/>
      <c r="S424" s="108"/>
      <c r="T424" s="145">
        <v>308660.16468196001</v>
      </c>
      <c r="U424" s="23">
        <f t="shared" si="51"/>
        <v>3</v>
      </c>
    </row>
    <row r="425" spans="1:21" x14ac:dyDescent="0.25">
      <c r="A425" s="102">
        <f t="shared" si="50"/>
        <v>407</v>
      </c>
      <c r="B425" s="101">
        <f t="shared" si="50"/>
        <v>219</v>
      </c>
      <c r="C425" s="73" t="s">
        <v>46</v>
      </c>
      <c r="D425" s="120" t="s">
        <v>649</v>
      </c>
      <c r="E425" s="123">
        <f t="shared" si="48"/>
        <v>5340335.5010032002</v>
      </c>
      <c r="F425" s="107">
        <v>5007132.5620260006</v>
      </c>
      <c r="G425" s="107"/>
      <c r="H425" s="107"/>
      <c r="I425" s="107"/>
      <c r="J425" s="107"/>
      <c r="K425" s="107"/>
      <c r="L425" s="107">
        <v>223707.09100319998</v>
      </c>
      <c r="M425" s="107">
        <v>0</v>
      </c>
      <c r="N425" s="107">
        <v>0</v>
      </c>
      <c r="O425" s="107">
        <v>0</v>
      </c>
      <c r="P425" s="107">
        <v>0</v>
      </c>
      <c r="Q425" s="107"/>
      <c r="R425" s="107"/>
      <c r="S425" s="108"/>
      <c r="T425" s="145">
        <v>109495.84797400002</v>
      </c>
      <c r="U425" s="23">
        <f t="shared" si="51"/>
        <v>2</v>
      </c>
    </row>
    <row r="426" spans="1:21" x14ac:dyDescent="0.25">
      <c r="A426" s="102">
        <f t="shared" si="50"/>
        <v>408</v>
      </c>
      <c r="B426" s="101">
        <f t="shared" si="50"/>
        <v>220</v>
      </c>
      <c r="C426" s="73" t="s">
        <v>46</v>
      </c>
      <c r="D426" s="120" t="s">
        <v>650</v>
      </c>
      <c r="E426" s="123">
        <f t="shared" si="48"/>
        <v>25200863.723121602</v>
      </c>
      <c r="F426" s="107">
        <v>18821465.971318923</v>
      </c>
      <c r="G426" s="107">
        <v>5062346.8099999996</v>
      </c>
      <c r="H426" s="107"/>
      <c r="I426" s="107"/>
      <c r="J426" s="107"/>
      <c r="K426" s="107"/>
      <c r="L426" s="107">
        <v>905463.60092160001</v>
      </c>
      <c r="M426" s="107">
        <v>0</v>
      </c>
      <c r="N426" s="107"/>
      <c r="O426" s="107">
        <v>0</v>
      </c>
      <c r="P426" s="107">
        <v>0</v>
      </c>
      <c r="Q426" s="107"/>
      <c r="R426" s="107"/>
      <c r="S426" s="108"/>
      <c r="T426" s="145">
        <v>411587.34088108013</v>
      </c>
      <c r="U426" s="23">
        <f t="shared" si="51"/>
        <v>3</v>
      </c>
    </row>
    <row r="427" spans="1:21" x14ac:dyDescent="0.25">
      <c r="A427" s="102">
        <f t="shared" si="50"/>
        <v>409</v>
      </c>
      <c r="B427" s="101">
        <f t="shared" si="50"/>
        <v>221</v>
      </c>
      <c r="C427" s="73" t="s">
        <v>46</v>
      </c>
      <c r="D427" s="120" t="s">
        <v>634</v>
      </c>
      <c r="E427" s="123">
        <f t="shared" si="48"/>
        <v>14909658.0872232</v>
      </c>
      <c r="F427" s="107">
        <v>13934572.418976301</v>
      </c>
      <c r="G427" s="107"/>
      <c r="H427" s="107"/>
      <c r="I427" s="107"/>
      <c r="J427" s="107"/>
      <c r="K427" s="107"/>
      <c r="L427" s="107">
        <v>670364.7917232</v>
      </c>
      <c r="M427" s="107">
        <v>0</v>
      </c>
      <c r="N427" s="107">
        <v>0</v>
      </c>
      <c r="O427" s="107">
        <v>0</v>
      </c>
      <c r="P427" s="107">
        <v>0</v>
      </c>
      <c r="Q427" s="107"/>
      <c r="R427" s="107"/>
      <c r="S427" s="108"/>
      <c r="T427" s="145">
        <v>304720.87652370002</v>
      </c>
      <c r="U427" s="23">
        <f t="shared" si="51"/>
        <v>2</v>
      </c>
    </row>
    <row r="428" spans="1:21" x14ac:dyDescent="0.25">
      <c r="A428" s="102">
        <f t="shared" si="50"/>
        <v>410</v>
      </c>
      <c r="B428" s="101">
        <f t="shared" si="50"/>
        <v>222</v>
      </c>
      <c r="C428" s="73" t="s">
        <v>46</v>
      </c>
      <c r="D428" s="120" t="s">
        <v>633</v>
      </c>
      <c r="E428" s="123">
        <f t="shared" si="48"/>
        <v>39658580.604182005</v>
      </c>
      <c r="F428" s="107">
        <v>20377265.934942003</v>
      </c>
      <c r="G428" s="107"/>
      <c r="H428" s="107">
        <v>8667695.4358680006</v>
      </c>
      <c r="I428" s="107">
        <v>8067730.7190899998</v>
      </c>
      <c r="J428" s="107">
        <v>0</v>
      </c>
      <c r="K428" s="107"/>
      <c r="L428" s="107">
        <v>897798.66553440015</v>
      </c>
      <c r="M428" s="107">
        <v>0</v>
      </c>
      <c r="N428" s="107">
        <v>0</v>
      </c>
      <c r="O428" s="107">
        <v>0</v>
      </c>
      <c r="P428" s="107">
        <v>0</v>
      </c>
      <c r="Q428" s="107"/>
      <c r="R428" s="107"/>
      <c r="S428" s="108"/>
      <c r="T428" s="145">
        <v>1648089.8487476003</v>
      </c>
      <c r="U428" s="23">
        <f t="shared" si="51"/>
        <v>4</v>
      </c>
    </row>
    <row r="429" spans="1:21" x14ac:dyDescent="0.25">
      <c r="A429" s="102">
        <f t="shared" si="50"/>
        <v>411</v>
      </c>
      <c r="B429" s="101">
        <f t="shared" si="50"/>
        <v>223</v>
      </c>
      <c r="C429" s="73" t="s">
        <v>46</v>
      </c>
      <c r="D429" s="120" t="s">
        <v>651</v>
      </c>
      <c r="E429" s="123">
        <f t="shared" si="48"/>
        <v>24395451.924600001</v>
      </c>
      <c r="F429" s="107"/>
      <c r="G429" s="107"/>
      <c r="H429" s="107"/>
      <c r="I429" s="107"/>
      <c r="J429" s="107"/>
      <c r="K429" s="107"/>
      <c r="L429" s="107"/>
      <c r="M429" s="107"/>
      <c r="N429" s="107">
        <v>0</v>
      </c>
      <c r="O429" s="107">
        <v>0</v>
      </c>
      <c r="P429" s="107">
        <v>23873389.253413562</v>
      </c>
      <c r="Q429" s="107"/>
      <c r="R429" s="107"/>
      <c r="S429" s="108"/>
      <c r="T429" s="145">
        <v>522062.67118644004</v>
      </c>
      <c r="U429" s="23">
        <f t="shared" si="51"/>
        <v>1</v>
      </c>
    </row>
    <row r="430" spans="1:21" x14ac:dyDescent="0.25">
      <c r="A430" s="102">
        <f t="shared" si="50"/>
        <v>412</v>
      </c>
      <c r="B430" s="101">
        <f t="shared" si="50"/>
        <v>224</v>
      </c>
      <c r="C430" s="73" t="s">
        <v>46</v>
      </c>
      <c r="D430" s="120" t="s">
        <v>652</v>
      </c>
      <c r="E430" s="123">
        <f t="shared" si="48"/>
        <v>8858174.1696719993</v>
      </c>
      <c r="F430" s="107">
        <v>4988188.1969219996</v>
      </c>
      <c r="G430" s="107">
        <v>3464508.143712</v>
      </c>
      <c r="H430" s="107">
        <v>0</v>
      </c>
      <c r="I430" s="107">
        <v>0</v>
      </c>
      <c r="J430" s="107">
        <v>0</v>
      </c>
      <c r="K430" s="107"/>
      <c r="L430" s="107">
        <v>222883.86136800001</v>
      </c>
      <c r="M430" s="107">
        <v>0</v>
      </c>
      <c r="N430" s="107">
        <v>0</v>
      </c>
      <c r="O430" s="107">
        <v>0</v>
      </c>
      <c r="P430" s="107">
        <v>0</v>
      </c>
      <c r="Q430" s="107">
        <v>0</v>
      </c>
      <c r="R430" s="107"/>
      <c r="S430" s="108"/>
      <c r="T430" s="145">
        <v>182593.96767000001</v>
      </c>
      <c r="U430" s="23">
        <f t="shared" si="51"/>
        <v>3</v>
      </c>
    </row>
    <row r="431" spans="1:21" x14ac:dyDescent="0.25">
      <c r="A431" s="102">
        <f t="shared" si="50"/>
        <v>413</v>
      </c>
      <c r="B431" s="101">
        <f t="shared" si="50"/>
        <v>225</v>
      </c>
      <c r="C431" s="73" t="s">
        <v>46</v>
      </c>
      <c r="D431" s="120" t="s">
        <v>653</v>
      </c>
      <c r="E431" s="123">
        <f t="shared" si="48"/>
        <v>7481358.0205419995</v>
      </c>
      <c r="F431" s="107">
        <v>4993428.7956419997</v>
      </c>
      <c r="G431" s="107"/>
      <c r="H431" s="107">
        <v>2109950.6526000001</v>
      </c>
      <c r="I431" s="107">
        <v>0</v>
      </c>
      <c r="J431" s="107">
        <v>0</v>
      </c>
      <c r="K431" s="107"/>
      <c r="L431" s="107">
        <v>222783.73884480001</v>
      </c>
      <c r="M431" s="107">
        <v>0</v>
      </c>
      <c r="N431" s="107">
        <v>0</v>
      </c>
      <c r="O431" s="107">
        <v>0</v>
      </c>
      <c r="P431" s="107">
        <v>0</v>
      </c>
      <c r="Q431" s="107">
        <v>0</v>
      </c>
      <c r="R431" s="107"/>
      <c r="S431" s="108"/>
      <c r="T431" s="145">
        <v>155194.83345520002</v>
      </c>
      <c r="U431" s="23">
        <f t="shared" si="51"/>
        <v>3</v>
      </c>
    </row>
    <row r="432" spans="1:21" x14ac:dyDescent="0.25">
      <c r="A432" s="102">
        <f t="shared" ref="A432:B447" si="52">+A431+1</f>
        <v>414</v>
      </c>
      <c r="B432" s="101">
        <f t="shared" si="52"/>
        <v>226</v>
      </c>
      <c r="C432" s="73" t="s">
        <v>46</v>
      </c>
      <c r="D432" s="120" t="s">
        <v>654</v>
      </c>
      <c r="E432" s="123">
        <f t="shared" si="48"/>
        <v>2192601.5954139996</v>
      </c>
      <c r="F432" s="107"/>
      <c r="G432" s="107"/>
      <c r="H432" s="107">
        <v>2147628.2009279998</v>
      </c>
      <c r="I432" s="107">
        <v>0</v>
      </c>
      <c r="J432" s="107">
        <v>0</v>
      </c>
      <c r="K432" s="107"/>
      <c r="L432" s="107"/>
      <c r="M432" s="107">
        <v>0</v>
      </c>
      <c r="N432" s="107">
        <v>0</v>
      </c>
      <c r="O432" s="107">
        <v>0</v>
      </c>
      <c r="P432" s="107">
        <v>0</v>
      </c>
      <c r="Q432" s="107">
        <v>0</v>
      </c>
      <c r="R432" s="107"/>
      <c r="S432" s="108"/>
      <c r="T432" s="145">
        <v>44973.394486000005</v>
      </c>
      <c r="U432" s="23">
        <f t="shared" si="51"/>
        <v>1</v>
      </c>
    </row>
    <row r="433" spans="1:22" x14ac:dyDescent="0.25">
      <c r="A433" s="102">
        <f t="shared" si="52"/>
        <v>415</v>
      </c>
      <c r="B433" s="101">
        <f t="shared" si="52"/>
        <v>227</v>
      </c>
      <c r="C433" s="73" t="s">
        <v>46</v>
      </c>
      <c r="D433" s="120" t="s">
        <v>655</v>
      </c>
      <c r="E433" s="123">
        <f t="shared" si="48"/>
        <v>5983323.2459000004</v>
      </c>
      <c r="F433" s="107">
        <v>5855280.1284377407</v>
      </c>
      <c r="G433" s="107">
        <v>0</v>
      </c>
      <c r="H433" s="107">
        <v>0</v>
      </c>
      <c r="I433" s="107">
        <v>0</v>
      </c>
      <c r="J433" s="107">
        <v>0</v>
      </c>
      <c r="K433" s="107"/>
      <c r="L433" s="107"/>
      <c r="M433" s="107">
        <v>0</v>
      </c>
      <c r="N433" s="107">
        <v>0</v>
      </c>
      <c r="O433" s="107">
        <v>0</v>
      </c>
      <c r="P433" s="107">
        <v>0</v>
      </c>
      <c r="Q433" s="107">
        <v>0</v>
      </c>
      <c r="R433" s="107"/>
      <c r="S433" s="108"/>
      <c r="T433" s="145">
        <v>128043.11746226001</v>
      </c>
      <c r="U433" s="23">
        <f t="shared" si="51"/>
        <v>1</v>
      </c>
    </row>
    <row r="434" spans="1:22" x14ac:dyDescent="0.25">
      <c r="A434" s="102">
        <f t="shared" si="52"/>
        <v>416</v>
      </c>
      <c r="B434" s="101">
        <f t="shared" si="52"/>
        <v>228</v>
      </c>
      <c r="C434" s="73" t="s">
        <v>46</v>
      </c>
      <c r="D434" s="120" t="s">
        <v>637</v>
      </c>
      <c r="E434" s="123">
        <f t="shared" si="48"/>
        <v>21423269.711282883</v>
      </c>
      <c r="F434" s="107"/>
      <c r="G434" s="107"/>
      <c r="H434" s="107"/>
      <c r="I434" s="107"/>
      <c r="J434" s="107"/>
      <c r="K434" s="107"/>
      <c r="L434" s="107"/>
      <c r="M434" s="107">
        <v>0</v>
      </c>
      <c r="N434" s="107">
        <v>0</v>
      </c>
      <c r="O434" s="107">
        <v>0</v>
      </c>
      <c r="P434" s="107">
        <v>20848198.017103564</v>
      </c>
      <c r="Q434" s="107"/>
      <c r="R434" s="107"/>
      <c r="S434" s="108"/>
      <c r="T434" s="145">
        <v>575071.69417932001</v>
      </c>
      <c r="U434" s="23">
        <f t="shared" si="51"/>
        <v>1</v>
      </c>
      <c r="V434" s="41" t="s">
        <v>252</v>
      </c>
    </row>
    <row r="435" spans="1:22" x14ac:dyDescent="0.25">
      <c r="A435" s="102">
        <f t="shared" si="52"/>
        <v>417</v>
      </c>
      <c r="B435" s="101">
        <f t="shared" si="52"/>
        <v>229</v>
      </c>
      <c r="C435" s="73" t="s">
        <v>46</v>
      </c>
      <c r="D435" s="120" t="s">
        <v>656</v>
      </c>
      <c r="E435" s="123">
        <f t="shared" si="48"/>
        <v>3195363.8498400003</v>
      </c>
      <c r="F435" s="107">
        <v>0</v>
      </c>
      <c r="G435" s="107">
        <v>0</v>
      </c>
      <c r="H435" s="107">
        <v>0</v>
      </c>
      <c r="I435" s="107">
        <v>0</v>
      </c>
      <c r="J435" s="107">
        <v>0</v>
      </c>
      <c r="K435" s="107"/>
      <c r="L435" s="107"/>
      <c r="M435" s="107">
        <v>0</v>
      </c>
      <c r="N435" s="107">
        <v>3054781.0748700001</v>
      </c>
      <c r="O435" s="107">
        <v>0</v>
      </c>
      <c r="P435" s="107">
        <v>0</v>
      </c>
      <c r="Q435" s="107">
        <v>0</v>
      </c>
      <c r="R435" s="107"/>
      <c r="S435" s="108"/>
      <c r="T435" s="145">
        <v>140582.77497</v>
      </c>
      <c r="U435" s="23">
        <f t="shared" si="51"/>
        <v>1</v>
      </c>
    </row>
    <row r="436" spans="1:22" x14ac:dyDescent="0.25">
      <c r="A436" s="102">
        <f t="shared" si="52"/>
        <v>418</v>
      </c>
      <c r="B436" s="101">
        <f t="shared" si="52"/>
        <v>230</v>
      </c>
      <c r="C436" s="73" t="s">
        <v>46</v>
      </c>
      <c r="D436" s="120" t="s">
        <v>638</v>
      </c>
      <c r="E436" s="123">
        <f t="shared" si="48"/>
        <v>13125184.475528559</v>
      </c>
      <c r="F436" s="107">
        <v>12305507</v>
      </c>
      <c r="G436" s="107"/>
      <c r="H436" s="107"/>
      <c r="I436" s="107"/>
      <c r="J436" s="107">
        <v>0</v>
      </c>
      <c r="K436" s="107"/>
      <c r="L436" s="107">
        <v>386031.94970675994</v>
      </c>
      <c r="M436" s="107">
        <v>0</v>
      </c>
      <c r="N436" s="107">
        <v>0</v>
      </c>
      <c r="O436" s="107">
        <v>0</v>
      </c>
      <c r="P436" s="107">
        <v>0</v>
      </c>
      <c r="Q436" s="107">
        <v>0</v>
      </c>
      <c r="R436" s="107"/>
      <c r="S436" s="108"/>
      <c r="T436" s="145">
        <v>433645.52582179999</v>
      </c>
      <c r="U436" s="23">
        <f t="shared" si="51"/>
        <v>2</v>
      </c>
    </row>
    <row r="437" spans="1:22" x14ac:dyDescent="0.25">
      <c r="A437" s="102">
        <f t="shared" si="52"/>
        <v>419</v>
      </c>
      <c r="B437" s="101">
        <f t="shared" si="52"/>
        <v>231</v>
      </c>
      <c r="C437" s="73" t="s">
        <v>57</v>
      </c>
      <c r="D437" s="120" t="s">
        <v>671</v>
      </c>
      <c r="E437" s="123">
        <f t="shared" si="48"/>
        <v>19747257.494666997</v>
      </c>
      <c r="F437" s="107">
        <v>13442149.368269999</v>
      </c>
      <c r="G437" s="107">
        <v>4980833.6754120002</v>
      </c>
      <c r="H437" s="107">
        <v>0</v>
      </c>
      <c r="I437" s="107">
        <v>0</v>
      </c>
      <c r="J437" s="107">
        <v>0</v>
      </c>
      <c r="K437" s="107"/>
      <c r="L437" s="107">
        <v>406248.53806487995</v>
      </c>
      <c r="M437" s="107">
        <v>0</v>
      </c>
      <c r="N437" s="107"/>
      <c r="O437" s="107">
        <v>0</v>
      </c>
      <c r="P437" s="107">
        <v>0</v>
      </c>
      <c r="Q437" s="107">
        <v>0</v>
      </c>
      <c r="R437" s="107"/>
      <c r="S437" s="108"/>
      <c r="T437" s="145">
        <v>918025.91292012006</v>
      </c>
      <c r="U437" s="23">
        <f t="shared" si="51"/>
        <v>3</v>
      </c>
    </row>
    <row r="438" spans="1:22" x14ac:dyDescent="0.25">
      <c r="A438" s="102">
        <f t="shared" si="52"/>
        <v>420</v>
      </c>
      <c r="B438" s="101">
        <f t="shared" si="52"/>
        <v>232</v>
      </c>
      <c r="C438" s="73" t="s">
        <v>57</v>
      </c>
      <c r="D438" s="120" t="s">
        <v>672</v>
      </c>
      <c r="E438" s="123">
        <f t="shared" si="48"/>
        <v>24458262.938600004</v>
      </c>
      <c r="F438" s="107">
        <v>13364467.924122002</v>
      </c>
      <c r="G438" s="107">
        <v>4951357.8128279997</v>
      </c>
      <c r="H438" s="107">
        <v>5214934.7490660008</v>
      </c>
      <c r="I438" s="107">
        <v>0</v>
      </c>
      <c r="J438" s="107">
        <v>0</v>
      </c>
      <c r="K438" s="107"/>
      <c r="L438" s="107">
        <v>404095.62569795997</v>
      </c>
      <c r="M438" s="107">
        <v>0</v>
      </c>
      <c r="N438" s="107"/>
      <c r="O438" s="107">
        <v>0</v>
      </c>
      <c r="P438" s="107">
        <v>0</v>
      </c>
      <c r="Q438" s="107">
        <v>0</v>
      </c>
      <c r="R438" s="107"/>
      <c r="S438" s="108"/>
      <c r="T438" s="145">
        <v>523406.8268860401</v>
      </c>
      <c r="U438" s="23">
        <f t="shared" si="51"/>
        <v>4</v>
      </c>
    </row>
    <row r="439" spans="1:22" x14ac:dyDescent="0.25">
      <c r="A439" s="102">
        <f t="shared" si="52"/>
        <v>421</v>
      </c>
      <c r="B439" s="101">
        <f t="shared" si="52"/>
        <v>233</v>
      </c>
      <c r="C439" s="73" t="s">
        <v>57</v>
      </c>
      <c r="D439" s="120" t="s">
        <v>669</v>
      </c>
      <c r="E439" s="123">
        <f t="shared" si="48"/>
        <v>6450583.4850394009</v>
      </c>
      <c r="F439" s="107"/>
      <c r="G439" s="107"/>
      <c r="H439" s="107"/>
      <c r="I439" s="107"/>
      <c r="J439" s="107"/>
      <c r="K439" s="107"/>
      <c r="L439" s="107"/>
      <c r="M439" s="107">
        <v>0</v>
      </c>
      <c r="N439" s="107">
        <v>6165071.1131500006</v>
      </c>
      <c r="O439" s="107">
        <v>0</v>
      </c>
      <c r="P439" s="107">
        <v>0</v>
      </c>
      <c r="Q439" s="107">
        <v>0</v>
      </c>
      <c r="R439" s="107"/>
      <c r="S439" s="108"/>
      <c r="T439" s="145">
        <v>285512.37188940006</v>
      </c>
      <c r="U439" s="23">
        <f t="shared" si="51"/>
        <v>1</v>
      </c>
      <c r="V439" s="1" t="s">
        <v>146</v>
      </c>
    </row>
    <row r="440" spans="1:22" x14ac:dyDescent="0.25">
      <c r="A440" s="102">
        <f t="shared" si="52"/>
        <v>422</v>
      </c>
      <c r="B440" s="101">
        <f t="shared" si="52"/>
        <v>234</v>
      </c>
      <c r="C440" s="73" t="s">
        <v>57</v>
      </c>
      <c r="D440" s="120" t="s">
        <v>674</v>
      </c>
      <c r="E440" s="123">
        <f t="shared" si="48"/>
        <v>16843607.011849999</v>
      </c>
      <c r="F440" s="107">
        <v>7387365.7431419995</v>
      </c>
      <c r="G440" s="107">
        <v>2724118.5447</v>
      </c>
      <c r="H440" s="107">
        <v>0</v>
      </c>
      <c r="I440" s="107">
        <v>0</v>
      </c>
      <c r="J440" s="107">
        <v>0</v>
      </c>
      <c r="K440" s="107"/>
      <c r="L440" s="107">
        <v>224044.32360912001</v>
      </c>
      <c r="M440" s="107">
        <v>0</v>
      </c>
      <c r="N440" s="107">
        <v>6282061.3226499995</v>
      </c>
      <c r="O440" s="107">
        <v>0</v>
      </c>
      <c r="P440" s="107">
        <v>0</v>
      </c>
      <c r="Q440" s="107">
        <v>0</v>
      </c>
      <c r="R440" s="107"/>
      <c r="S440" s="108"/>
      <c r="T440" s="145">
        <v>226017.07774887996</v>
      </c>
      <c r="U440" s="23">
        <f t="shared" si="51"/>
        <v>4</v>
      </c>
    </row>
    <row r="441" spans="1:22" x14ac:dyDescent="0.25">
      <c r="A441" s="102">
        <f t="shared" si="52"/>
        <v>423</v>
      </c>
      <c r="B441" s="101">
        <f t="shared" si="52"/>
        <v>235</v>
      </c>
      <c r="C441" s="73" t="s">
        <v>57</v>
      </c>
      <c r="D441" s="120" t="s">
        <v>675</v>
      </c>
      <c r="E441" s="123">
        <f t="shared" si="48"/>
        <v>28815163.8424908</v>
      </c>
      <c r="F441" s="107">
        <v>13389086.339243999</v>
      </c>
      <c r="G441" s="107">
        <v>4961562.7514880002</v>
      </c>
      <c r="H441" s="107">
        <v>0</v>
      </c>
      <c r="I441" s="107">
        <v>0</v>
      </c>
      <c r="J441" s="107">
        <v>0</v>
      </c>
      <c r="K441" s="107"/>
      <c r="L441" s="107">
        <v>404624.41455659998</v>
      </c>
      <c r="M441" s="107">
        <v>0</v>
      </c>
      <c r="N441" s="107">
        <v>9145505.7300000004</v>
      </c>
      <c r="O441" s="107">
        <v>0</v>
      </c>
      <c r="P441" s="107">
        <v>0</v>
      </c>
      <c r="Q441" s="107">
        <v>0</v>
      </c>
      <c r="R441" s="107"/>
      <c r="S441" s="108"/>
      <c r="T441" s="145">
        <v>914384.60720219999</v>
      </c>
      <c r="U441" s="23">
        <f t="shared" si="51"/>
        <v>4</v>
      </c>
    </row>
    <row r="442" spans="1:22" x14ac:dyDescent="0.25">
      <c r="A442" s="102">
        <f t="shared" si="52"/>
        <v>424</v>
      </c>
      <c r="B442" s="101">
        <f t="shared" si="52"/>
        <v>236</v>
      </c>
      <c r="C442" s="73" t="s">
        <v>57</v>
      </c>
      <c r="D442" s="120" t="s">
        <v>673</v>
      </c>
      <c r="E442" s="123">
        <f t="shared" si="48"/>
        <v>17059045.641933002</v>
      </c>
      <c r="F442" s="107">
        <v>10856660.689999999</v>
      </c>
      <c r="G442" s="107">
        <v>4871890.16</v>
      </c>
      <c r="H442" s="107">
        <v>0</v>
      </c>
      <c r="I442" s="107">
        <v>0</v>
      </c>
      <c r="J442" s="107">
        <v>0</v>
      </c>
      <c r="K442" s="107"/>
      <c r="L442" s="107">
        <v>408137.05600247998</v>
      </c>
      <c r="M442" s="107">
        <v>0</v>
      </c>
      <c r="N442" s="107"/>
      <c r="O442" s="107">
        <v>0</v>
      </c>
      <c r="P442" s="107">
        <v>0</v>
      </c>
      <c r="Q442" s="107">
        <v>0</v>
      </c>
      <c r="R442" s="107"/>
      <c r="S442" s="108"/>
      <c r="T442" s="145">
        <v>922357.73593051999</v>
      </c>
      <c r="U442" s="23">
        <f t="shared" si="51"/>
        <v>3</v>
      </c>
      <c r="V442" s="1" t="s">
        <v>144</v>
      </c>
    </row>
    <row r="443" spans="1:22" x14ac:dyDescent="0.25">
      <c r="A443" s="102">
        <f t="shared" si="52"/>
        <v>425</v>
      </c>
      <c r="B443" s="101">
        <f t="shared" si="52"/>
        <v>237</v>
      </c>
      <c r="C443" s="73" t="s">
        <v>58</v>
      </c>
      <c r="D443" s="120" t="s">
        <v>676</v>
      </c>
      <c r="E443" s="123">
        <f t="shared" si="48"/>
        <v>22010479.830000002</v>
      </c>
      <c r="F443" s="107">
        <v>0</v>
      </c>
      <c r="G443" s="107">
        <v>0</v>
      </c>
      <c r="H443" s="107">
        <v>0</v>
      </c>
      <c r="I443" s="107">
        <v>0</v>
      </c>
      <c r="J443" s="107">
        <v>0</v>
      </c>
      <c r="K443" s="107"/>
      <c r="L443" s="107"/>
      <c r="M443" s="107">
        <v>0</v>
      </c>
      <c r="N443" s="107">
        <v>21539455.561638001</v>
      </c>
      <c r="O443" s="107">
        <v>0</v>
      </c>
      <c r="P443" s="107">
        <v>0</v>
      </c>
      <c r="Q443" s="107">
        <v>0</v>
      </c>
      <c r="R443" s="107"/>
      <c r="S443" s="108"/>
      <c r="T443" s="145">
        <v>471024.26836200006</v>
      </c>
      <c r="U443" s="23">
        <f t="shared" si="51"/>
        <v>1</v>
      </c>
    </row>
    <row r="444" spans="1:22" x14ac:dyDescent="0.25">
      <c r="A444" s="102">
        <f t="shared" si="52"/>
        <v>426</v>
      </c>
      <c r="B444" s="101">
        <f t="shared" si="52"/>
        <v>238</v>
      </c>
      <c r="C444" s="73" t="s">
        <v>58</v>
      </c>
      <c r="D444" s="120" t="s">
        <v>677</v>
      </c>
      <c r="E444" s="123">
        <f t="shared" si="48"/>
        <v>3633489.3452695999</v>
      </c>
      <c r="F444" s="107">
        <v>0</v>
      </c>
      <c r="G444" s="107">
        <v>0</v>
      </c>
      <c r="H444" s="107">
        <v>0</v>
      </c>
      <c r="I444" s="107">
        <v>0</v>
      </c>
      <c r="J444" s="107">
        <v>0</v>
      </c>
      <c r="K444" s="107"/>
      <c r="L444" s="107"/>
      <c r="M444" s="107">
        <v>0</v>
      </c>
      <c r="N444" s="107">
        <v>3409155.6744499998</v>
      </c>
      <c r="O444" s="107">
        <v>0</v>
      </c>
      <c r="P444" s="107">
        <v>0</v>
      </c>
      <c r="Q444" s="107">
        <v>0</v>
      </c>
      <c r="R444" s="107"/>
      <c r="S444" s="108"/>
      <c r="T444" s="145">
        <v>224333.67081960003</v>
      </c>
      <c r="U444" s="23">
        <f t="shared" si="51"/>
        <v>1</v>
      </c>
      <c r="V444" s="1" t="s">
        <v>146</v>
      </c>
    </row>
    <row r="445" spans="1:22" x14ac:dyDescent="0.25">
      <c r="A445" s="102">
        <f t="shared" si="52"/>
        <v>427</v>
      </c>
      <c r="B445" s="101">
        <f t="shared" si="52"/>
        <v>239</v>
      </c>
      <c r="C445" s="73" t="s">
        <v>66</v>
      </c>
      <c r="D445" s="120" t="s">
        <v>678</v>
      </c>
      <c r="E445" s="123">
        <f t="shared" si="48"/>
        <v>1832846.1297638123</v>
      </c>
      <c r="F445" s="107"/>
      <c r="G445" s="107">
        <v>880894.3</v>
      </c>
      <c r="H445" s="107">
        <v>292852.17</v>
      </c>
      <c r="I445" s="107">
        <v>569808.16</v>
      </c>
      <c r="J445" s="107">
        <v>0</v>
      </c>
      <c r="K445" s="107"/>
      <c r="L445" s="107"/>
      <c r="M445" s="107">
        <v>0</v>
      </c>
      <c r="N445" s="144"/>
      <c r="O445" s="107"/>
      <c r="P445" s="107"/>
      <c r="Q445" s="107"/>
      <c r="R445" s="107"/>
      <c r="S445" s="108"/>
      <c r="T445" s="145">
        <v>89291.499763812477</v>
      </c>
      <c r="U445" s="23">
        <f t="shared" si="51"/>
        <v>3</v>
      </c>
    </row>
    <row r="446" spans="1:22" x14ac:dyDescent="0.25">
      <c r="A446" s="102">
        <f t="shared" si="52"/>
        <v>428</v>
      </c>
      <c r="B446" s="101">
        <f t="shared" si="52"/>
        <v>240</v>
      </c>
      <c r="C446" s="73" t="s">
        <v>66</v>
      </c>
      <c r="D446" s="120" t="s">
        <v>679</v>
      </c>
      <c r="E446" s="123">
        <f t="shared" si="48"/>
        <v>8034419.9657033095</v>
      </c>
      <c r="F446" s="107">
        <v>0</v>
      </c>
      <c r="G446" s="107">
        <v>0</v>
      </c>
      <c r="H446" s="107">
        <v>2128126.3097030208</v>
      </c>
      <c r="I446" s="107"/>
      <c r="J446" s="107"/>
      <c r="K446" s="107"/>
      <c r="L446" s="107"/>
      <c r="M446" s="107"/>
      <c r="N446" s="107"/>
      <c r="O446" s="107"/>
      <c r="P446" s="107"/>
      <c r="Q446" s="107">
        <v>5673685.3984161094</v>
      </c>
      <c r="R446" s="107"/>
      <c r="S446" s="108"/>
      <c r="T446" s="145">
        <v>232608.25758417978</v>
      </c>
      <c r="U446" s="23">
        <f t="shared" si="51"/>
        <v>2</v>
      </c>
    </row>
    <row r="447" spans="1:22" x14ac:dyDescent="0.25">
      <c r="A447" s="102">
        <f t="shared" si="52"/>
        <v>429</v>
      </c>
      <c r="B447" s="101">
        <f t="shared" si="52"/>
        <v>241</v>
      </c>
      <c r="C447" s="73" t="s">
        <v>66</v>
      </c>
      <c r="D447" s="120" t="s">
        <v>681</v>
      </c>
      <c r="E447" s="123">
        <f t="shared" si="48"/>
        <v>9688406.258375138</v>
      </c>
      <c r="F447" s="107">
        <v>1130532.8799999999</v>
      </c>
      <c r="G447" s="107">
        <v>322661.12</v>
      </c>
      <c r="H447" s="107">
        <v>2032941.39</v>
      </c>
      <c r="I447" s="107">
        <v>361992.49</v>
      </c>
      <c r="J447" s="107">
        <v>0</v>
      </c>
      <c r="K447" s="107"/>
      <c r="L447" s="107"/>
      <c r="M447" s="107">
        <v>0</v>
      </c>
      <c r="N447" s="107">
        <v>0</v>
      </c>
      <c r="O447" s="107">
        <v>0</v>
      </c>
      <c r="P447" s="107">
        <v>0</v>
      </c>
      <c r="Q447" s="107">
        <v>5683076.9400000004</v>
      </c>
      <c r="R447" s="107"/>
      <c r="S447" s="108"/>
      <c r="T447" s="145">
        <v>157201.43837513844</v>
      </c>
      <c r="U447" s="23">
        <f t="shared" si="51"/>
        <v>5</v>
      </c>
    </row>
    <row r="448" spans="1:22" x14ac:dyDescent="0.25">
      <c r="A448" s="102">
        <f t="shared" ref="A448:B463" si="53">+A447+1</f>
        <v>430</v>
      </c>
      <c r="B448" s="101">
        <f t="shared" si="53"/>
        <v>242</v>
      </c>
      <c r="C448" s="73" t="s">
        <v>66</v>
      </c>
      <c r="D448" s="120" t="s">
        <v>682</v>
      </c>
      <c r="E448" s="123">
        <f t="shared" si="48"/>
        <v>6648750.9974127999</v>
      </c>
      <c r="F448" s="107">
        <v>0</v>
      </c>
      <c r="G448" s="107">
        <v>0</v>
      </c>
      <c r="H448" s="107">
        <v>0</v>
      </c>
      <c r="I448" s="107">
        <v>0</v>
      </c>
      <c r="J448" s="107">
        <v>0</v>
      </c>
      <c r="K448" s="107"/>
      <c r="L448" s="107"/>
      <c r="M448" s="107">
        <v>0</v>
      </c>
      <c r="N448" s="107">
        <v>0</v>
      </c>
      <c r="O448" s="107">
        <v>0</v>
      </c>
      <c r="P448" s="107">
        <v>6506467.7260681661</v>
      </c>
      <c r="Q448" s="107"/>
      <c r="R448" s="107"/>
      <c r="S448" s="108"/>
      <c r="T448" s="145">
        <v>142283.27134463392</v>
      </c>
      <c r="U448" s="23">
        <f t="shared" si="51"/>
        <v>1</v>
      </c>
    </row>
    <row r="449" spans="1:22" x14ac:dyDescent="0.25">
      <c r="A449" s="102">
        <f t="shared" si="53"/>
        <v>431</v>
      </c>
      <c r="B449" s="101">
        <f t="shared" si="53"/>
        <v>243</v>
      </c>
      <c r="C449" s="73" t="s">
        <v>66</v>
      </c>
      <c r="D449" s="120" t="s">
        <v>683</v>
      </c>
      <c r="E449" s="123">
        <f t="shared" si="48"/>
        <v>9102569.4658067226</v>
      </c>
      <c r="F449" s="107">
        <v>0</v>
      </c>
      <c r="G449" s="107">
        <v>0</v>
      </c>
      <c r="H449" s="107">
        <v>2428644.2700873055</v>
      </c>
      <c r="I449" s="107">
        <v>0</v>
      </c>
      <c r="J449" s="107">
        <v>0</v>
      </c>
      <c r="K449" s="107"/>
      <c r="L449" s="107">
        <v>0</v>
      </c>
      <c r="M449" s="107">
        <v>0</v>
      </c>
      <c r="N449" s="107">
        <v>0</v>
      </c>
      <c r="O449" s="107">
        <v>0</v>
      </c>
      <c r="P449" s="107">
        <v>0</v>
      </c>
      <c r="Q449" s="107">
        <v>6479130.2091511516</v>
      </c>
      <c r="R449" s="107"/>
      <c r="S449" s="108"/>
      <c r="T449" s="145">
        <v>194794.98656826385</v>
      </c>
      <c r="U449" s="23">
        <f t="shared" si="51"/>
        <v>2</v>
      </c>
    </row>
    <row r="450" spans="1:22" x14ac:dyDescent="0.25">
      <c r="A450" s="102">
        <f t="shared" si="53"/>
        <v>432</v>
      </c>
      <c r="B450" s="101">
        <f t="shared" si="53"/>
        <v>244</v>
      </c>
      <c r="C450" s="73" t="s">
        <v>66</v>
      </c>
      <c r="D450" s="120" t="s">
        <v>680</v>
      </c>
      <c r="E450" s="123">
        <f t="shared" si="48"/>
        <v>7717731.9717803607</v>
      </c>
      <c r="F450" s="107">
        <v>0</v>
      </c>
      <c r="G450" s="107">
        <v>0</v>
      </c>
      <c r="H450" s="107">
        <v>1228652.79</v>
      </c>
      <c r="I450" s="107">
        <v>1678642.03</v>
      </c>
      <c r="J450" s="107">
        <v>0</v>
      </c>
      <c r="K450" s="107"/>
      <c r="L450" s="107"/>
      <c r="M450" s="107">
        <v>0</v>
      </c>
      <c r="N450" s="107">
        <v>3803871.23</v>
      </c>
      <c r="O450" s="107">
        <v>0</v>
      </c>
      <c r="P450" s="107">
        <v>0</v>
      </c>
      <c r="Q450" s="107"/>
      <c r="R450" s="107"/>
      <c r="S450" s="108"/>
      <c r="T450" s="145">
        <v>1006565.9217803602</v>
      </c>
      <c r="U450" s="23">
        <f t="shared" si="51"/>
        <v>3</v>
      </c>
      <c r="V450" s="1" t="s">
        <v>146</v>
      </c>
    </row>
    <row r="451" spans="1:22" x14ac:dyDescent="0.25">
      <c r="A451" s="102">
        <f t="shared" si="53"/>
        <v>433</v>
      </c>
      <c r="B451" s="101">
        <f t="shared" si="53"/>
        <v>245</v>
      </c>
      <c r="C451" s="73" t="s">
        <v>66</v>
      </c>
      <c r="D451" s="120" t="s">
        <v>684</v>
      </c>
      <c r="E451" s="123">
        <f t="shared" si="48"/>
        <v>6161823.346674839</v>
      </c>
      <c r="F451" s="107">
        <v>0</v>
      </c>
      <c r="G451" s="107">
        <v>0</v>
      </c>
      <c r="H451" s="107">
        <v>1076716.6299999999</v>
      </c>
      <c r="I451" s="107">
        <v>1632309.59</v>
      </c>
      <c r="J451" s="107">
        <v>0</v>
      </c>
      <c r="K451" s="107"/>
      <c r="L451" s="107"/>
      <c r="M451" s="107">
        <v>0</v>
      </c>
      <c r="N451" s="107">
        <v>2825101.65</v>
      </c>
      <c r="O451" s="107">
        <v>0</v>
      </c>
      <c r="P451" s="107"/>
      <c r="Q451" s="107"/>
      <c r="R451" s="107"/>
      <c r="S451" s="108"/>
      <c r="T451" s="145">
        <v>627695.47667484009</v>
      </c>
      <c r="U451" s="23">
        <f t="shared" ref="U451:U480" si="54">COUNTIF(F451:Q451,"&gt;0")</f>
        <v>3</v>
      </c>
      <c r="V451" s="1" t="s">
        <v>146</v>
      </c>
    </row>
    <row r="452" spans="1:22" x14ac:dyDescent="0.25">
      <c r="A452" s="102">
        <f t="shared" si="53"/>
        <v>434</v>
      </c>
      <c r="B452" s="101">
        <f t="shared" si="53"/>
        <v>246</v>
      </c>
      <c r="C452" s="73" t="s">
        <v>66</v>
      </c>
      <c r="D452" s="120" t="s">
        <v>685</v>
      </c>
      <c r="E452" s="123">
        <f t="shared" si="48"/>
        <v>8194296.4237568006</v>
      </c>
      <c r="F452" s="107"/>
      <c r="G452" s="107"/>
      <c r="H452" s="107">
        <v>2187835.7883797591</v>
      </c>
      <c r="I452" s="107"/>
      <c r="J452" s="107"/>
      <c r="K452" s="107"/>
      <c r="L452" s="107"/>
      <c r="M452" s="107"/>
      <c r="N452" s="107"/>
      <c r="O452" s="107"/>
      <c r="P452" s="107"/>
      <c r="Q452" s="107">
        <v>5831102.6919086454</v>
      </c>
      <c r="R452" s="107"/>
      <c r="S452" s="108"/>
      <c r="T452" s="145">
        <v>175357.9434683955</v>
      </c>
      <c r="U452" s="23">
        <f t="shared" si="54"/>
        <v>2</v>
      </c>
    </row>
    <row r="453" spans="1:22" x14ac:dyDescent="0.25">
      <c r="A453" s="102">
        <f t="shared" si="53"/>
        <v>435</v>
      </c>
      <c r="B453" s="101">
        <f t="shared" si="53"/>
        <v>247</v>
      </c>
      <c r="C453" s="73" t="s">
        <v>59</v>
      </c>
      <c r="D453" s="120" t="s">
        <v>686</v>
      </c>
      <c r="E453" s="123">
        <f t="shared" si="48"/>
        <v>7441099.7124260003</v>
      </c>
      <c r="F453" s="107"/>
      <c r="G453" s="107">
        <v>539640.37</v>
      </c>
      <c r="H453" s="107">
        <v>0</v>
      </c>
      <c r="I453" s="107">
        <v>0</v>
      </c>
      <c r="J453" s="107">
        <v>0</v>
      </c>
      <c r="K453" s="107"/>
      <c r="L453" s="107"/>
      <c r="M453" s="107">
        <v>0</v>
      </c>
      <c r="N453" s="107">
        <v>6713480.5099999998</v>
      </c>
      <c r="O453" s="107">
        <v>0</v>
      </c>
      <c r="P453" s="107">
        <v>0</v>
      </c>
      <c r="Q453" s="107">
        <v>0</v>
      </c>
      <c r="R453" s="107"/>
      <c r="S453" s="108"/>
      <c r="T453" s="145">
        <v>187978.83242600004</v>
      </c>
      <c r="U453" s="23">
        <f t="shared" si="54"/>
        <v>2</v>
      </c>
    </row>
    <row r="454" spans="1:22" x14ac:dyDescent="0.25">
      <c r="A454" s="102">
        <f t="shared" si="53"/>
        <v>436</v>
      </c>
      <c r="B454" s="101">
        <f t="shared" si="53"/>
        <v>248</v>
      </c>
      <c r="C454" s="73" t="s">
        <v>59</v>
      </c>
      <c r="D454" s="120" t="s">
        <v>687</v>
      </c>
      <c r="E454" s="123">
        <f t="shared" si="48"/>
        <v>3577560.5733999996</v>
      </c>
      <c r="F454" s="107">
        <v>1767665.6131679998</v>
      </c>
      <c r="G454" s="107">
        <v>815853.27133800008</v>
      </c>
      <c r="H454" s="107">
        <v>842442.90979800001</v>
      </c>
      <c r="I454" s="107">
        <v>0</v>
      </c>
      <c r="J454" s="107">
        <v>0</v>
      </c>
      <c r="K454" s="107"/>
      <c r="L454" s="107">
        <v>75038.982825239989</v>
      </c>
      <c r="M454" s="107">
        <v>0</v>
      </c>
      <c r="N454" s="107">
        <v>0</v>
      </c>
      <c r="O454" s="107">
        <v>0</v>
      </c>
      <c r="P454" s="107">
        <v>0</v>
      </c>
      <c r="Q454" s="107">
        <v>0</v>
      </c>
      <c r="R454" s="107"/>
      <c r="S454" s="108"/>
      <c r="T454" s="145">
        <v>76559.796270759995</v>
      </c>
      <c r="U454" s="23">
        <f t="shared" si="54"/>
        <v>4</v>
      </c>
    </row>
    <row r="455" spans="1:22" x14ac:dyDescent="0.25">
      <c r="A455" s="102">
        <f t="shared" si="53"/>
        <v>437</v>
      </c>
      <c r="B455" s="101">
        <f t="shared" si="53"/>
        <v>249</v>
      </c>
      <c r="C455" s="73" t="s">
        <v>59</v>
      </c>
      <c r="D455" s="120" t="s">
        <v>688</v>
      </c>
      <c r="E455" s="123">
        <f t="shared" si="48"/>
        <v>17965449.162177999</v>
      </c>
      <c r="F455" s="107">
        <v>6428842.3899999997</v>
      </c>
      <c r="G455" s="107">
        <v>1825378.91</v>
      </c>
      <c r="H455" s="107">
        <v>1830078.26</v>
      </c>
      <c r="I455" s="107"/>
      <c r="J455" s="107">
        <v>0</v>
      </c>
      <c r="K455" s="107"/>
      <c r="L455" s="107"/>
      <c r="M455" s="107">
        <v>0</v>
      </c>
      <c r="N455" s="107">
        <v>0</v>
      </c>
      <c r="O455" s="107">
        <v>0</v>
      </c>
      <c r="P455" s="107">
        <v>7416801.1399999997</v>
      </c>
      <c r="Q455" s="107">
        <v>0</v>
      </c>
      <c r="R455" s="107"/>
      <c r="S455" s="108"/>
      <c r="T455" s="145">
        <v>464348.46217800002</v>
      </c>
      <c r="U455" s="23">
        <f t="shared" si="54"/>
        <v>4</v>
      </c>
    </row>
    <row r="456" spans="1:22" x14ac:dyDescent="0.25">
      <c r="A456" s="102">
        <f t="shared" si="53"/>
        <v>438</v>
      </c>
      <c r="B456" s="101">
        <f t="shared" si="53"/>
        <v>250</v>
      </c>
      <c r="C456" s="73" t="s">
        <v>59</v>
      </c>
      <c r="D456" s="120" t="s">
        <v>689</v>
      </c>
      <c r="E456" s="123">
        <f t="shared" si="48"/>
        <v>7768881.3499999996</v>
      </c>
      <c r="F456" s="107">
        <v>3912372.017862</v>
      </c>
      <c r="G456" s="107">
        <v>1821795.805494</v>
      </c>
      <c r="H456" s="107">
        <v>1868459.465754</v>
      </c>
      <c r="I456" s="107"/>
      <c r="J456" s="107">
        <v>0</v>
      </c>
      <c r="K456" s="107"/>
      <c r="L456" s="107"/>
      <c r="M456" s="107">
        <v>0</v>
      </c>
      <c r="N456" s="107">
        <v>0</v>
      </c>
      <c r="O456" s="107">
        <v>0</v>
      </c>
      <c r="P456" s="107">
        <v>0</v>
      </c>
      <c r="Q456" s="107">
        <v>0</v>
      </c>
      <c r="R456" s="107"/>
      <c r="S456" s="108"/>
      <c r="T456" s="145">
        <v>166254.06088999999</v>
      </c>
      <c r="U456" s="23">
        <f t="shared" si="54"/>
        <v>3</v>
      </c>
    </row>
    <row r="457" spans="1:22" x14ac:dyDescent="0.25">
      <c r="A457" s="102">
        <f t="shared" si="53"/>
        <v>439</v>
      </c>
      <c r="B457" s="101">
        <f t="shared" si="53"/>
        <v>251</v>
      </c>
      <c r="C457" s="73" t="s">
        <v>59</v>
      </c>
      <c r="D457" s="120" t="s">
        <v>690</v>
      </c>
      <c r="E457" s="123">
        <f t="shared" si="48"/>
        <v>10164042.109999999</v>
      </c>
      <c r="F457" s="107">
        <v>6784576.1506739995</v>
      </c>
      <c r="G457" s="107">
        <v>3161955.4581719995</v>
      </c>
      <c r="H457" s="107">
        <v>0</v>
      </c>
      <c r="I457" s="107"/>
      <c r="J457" s="107">
        <v>0</v>
      </c>
      <c r="K457" s="107"/>
      <c r="L457" s="107"/>
      <c r="M457" s="107">
        <v>0</v>
      </c>
      <c r="N457" s="107">
        <v>0</v>
      </c>
      <c r="O457" s="107">
        <v>0</v>
      </c>
      <c r="P457" s="107">
        <v>0</v>
      </c>
      <c r="Q457" s="107">
        <v>0</v>
      </c>
      <c r="R457" s="107"/>
      <c r="S457" s="108"/>
      <c r="T457" s="145">
        <v>217510.50115400003</v>
      </c>
      <c r="U457" s="23">
        <f t="shared" si="54"/>
        <v>2</v>
      </c>
    </row>
    <row r="458" spans="1:22" x14ac:dyDescent="0.25">
      <c r="A458" s="102">
        <f t="shared" si="53"/>
        <v>440</v>
      </c>
      <c r="B458" s="101">
        <f t="shared" si="53"/>
        <v>252</v>
      </c>
      <c r="C458" s="73" t="s">
        <v>59</v>
      </c>
      <c r="D458" s="120" t="s">
        <v>691</v>
      </c>
      <c r="E458" s="123">
        <f t="shared" si="48"/>
        <v>9321568.8579660002</v>
      </c>
      <c r="F458" s="107">
        <v>0</v>
      </c>
      <c r="G458" s="107">
        <v>0</v>
      </c>
      <c r="H458" s="107">
        <v>0</v>
      </c>
      <c r="I458" s="107">
        <v>0</v>
      </c>
      <c r="J458" s="107">
        <v>0</v>
      </c>
      <c r="K458" s="107"/>
      <c r="L458" s="107"/>
      <c r="M458" s="107">
        <v>0</v>
      </c>
      <c r="N458" s="107">
        <v>9023845.8800000008</v>
      </c>
      <c r="O458" s="107">
        <v>0</v>
      </c>
      <c r="P458" s="107"/>
      <c r="Q458" s="107">
        <v>0</v>
      </c>
      <c r="R458" s="107"/>
      <c r="S458" s="108"/>
      <c r="T458" s="145">
        <v>297722.97796599998</v>
      </c>
      <c r="U458" s="23">
        <f t="shared" si="54"/>
        <v>1</v>
      </c>
    </row>
    <row r="459" spans="1:22" x14ac:dyDescent="0.25">
      <c r="A459" s="102">
        <f t="shared" si="53"/>
        <v>441</v>
      </c>
      <c r="B459" s="101">
        <f t="shared" si="53"/>
        <v>253</v>
      </c>
      <c r="C459" s="73" t="s">
        <v>59</v>
      </c>
      <c r="D459" s="120" t="s">
        <v>692</v>
      </c>
      <c r="E459" s="123">
        <f t="shared" si="48"/>
        <v>1811123.542842</v>
      </c>
      <c r="F459" s="107"/>
      <c r="G459" s="107">
        <v>1775821.500432</v>
      </c>
      <c r="H459" s="107">
        <v>0</v>
      </c>
      <c r="I459" s="107">
        <v>0</v>
      </c>
      <c r="J459" s="107">
        <v>0</v>
      </c>
      <c r="K459" s="107"/>
      <c r="L459" s="107"/>
      <c r="M459" s="107">
        <v>0</v>
      </c>
      <c r="N459" s="107">
        <v>0</v>
      </c>
      <c r="O459" s="107">
        <v>0</v>
      </c>
      <c r="P459" s="107"/>
      <c r="Q459" s="107">
        <v>0</v>
      </c>
      <c r="R459" s="107"/>
      <c r="S459" s="108"/>
      <c r="T459" s="145">
        <v>35302.042410000002</v>
      </c>
      <c r="U459" s="23">
        <f t="shared" si="54"/>
        <v>1</v>
      </c>
    </row>
    <row r="460" spans="1:22" x14ac:dyDescent="0.25">
      <c r="A460" s="102">
        <f t="shared" si="53"/>
        <v>442</v>
      </c>
      <c r="B460" s="101">
        <f t="shared" si="53"/>
        <v>254</v>
      </c>
      <c r="C460" s="73" t="s">
        <v>68</v>
      </c>
      <c r="D460" s="120" t="s">
        <v>697</v>
      </c>
      <c r="E460" s="123">
        <f t="shared" si="48"/>
        <v>28484598.610168263</v>
      </c>
      <c r="F460" s="107">
        <v>5786157.6164384168</v>
      </c>
      <c r="G460" s="107">
        <v>2662659.4013375328</v>
      </c>
      <c r="H460" s="107">
        <v>2785550.9406979568</v>
      </c>
      <c r="I460" s="107">
        <v>1765690.024929533</v>
      </c>
      <c r="J460" s="107">
        <v>0</v>
      </c>
      <c r="K460" s="107"/>
      <c r="L460" s="107">
        <v>255018.07492258408</v>
      </c>
      <c r="M460" s="107">
        <v>0</v>
      </c>
      <c r="N460" s="107">
        <v>14062573.097874001</v>
      </c>
      <c r="O460" s="107">
        <v>0</v>
      </c>
      <c r="P460" s="107">
        <v>0</v>
      </c>
      <c r="Q460" s="107">
        <v>0</v>
      </c>
      <c r="R460" s="107">
        <v>588328.4</v>
      </c>
      <c r="S460" s="108"/>
      <c r="T460" s="145">
        <v>578621.05396824155</v>
      </c>
      <c r="U460" s="23">
        <f t="shared" si="54"/>
        <v>6</v>
      </c>
    </row>
    <row r="461" spans="1:22" x14ac:dyDescent="0.25">
      <c r="A461" s="102">
        <f t="shared" si="53"/>
        <v>443</v>
      </c>
      <c r="B461" s="101">
        <f t="shared" si="53"/>
        <v>255</v>
      </c>
      <c r="C461" s="73" t="s">
        <v>68</v>
      </c>
      <c r="D461" s="120" t="s">
        <v>695</v>
      </c>
      <c r="E461" s="123">
        <f t="shared" si="48"/>
        <v>7852669.346012</v>
      </c>
      <c r="F461" s="107">
        <v>0</v>
      </c>
      <c r="G461" s="107">
        <v>0</v>
      </c>
      <c r="H461" s="107">
        <v>0</v>
      </c>
      <c r="I461" s="107">
        <v>0</v>
      </c>
      <c r="J461" s="107">
        <v>0</v>
      </c>
      <c r="K461" s="107"/>
      <c r="L461" s="107"/>
      <c r="M461" s="107">
        <v>0</v>
      </c>
      <c r="N461" s="107"/>
      <c r="O461" s="107">
        <v>0</v>
      </c>
      <c r="P461" s="107">
        <v>0</v>
      </c>
      <c r="Q461" s="107">
        <v>7388743.1422140002</v>
      </c>
      <c r="R461" s="107"/>
      <c r="S461" s="108"/>
      <c r="T461" s="145">
        <v>463926.20379799994</v>
      </c>
      <c r="U461" s="23">
        <f t="shared" si="54"/>
        <v>1</v>
      </c>
    </row>
    <row r="462" spans="1:22" x14ac:dyDescent="0.25">
      <c r="A462" s="102">
        <f t="shared" si="53"/>
        <v>444</v>
      </c>
      <c r="B462" s="101">
        <f t="shared" si="53"/>
        <v>256</v>
      </c>
      <c r="C462" s="73" t="s">
        <v>60</v>
      </c>
      <c r="D462" s="120" t="s">
        <v>706</v>
      </c>
      <c r="E462" s="123">
        <f t="shared" si="48"/>
        <v>2792199.2437518002</v>
      </c>
      <c r="F462" s="107">
        <v>0</v>
      </c>
      <c r="G462" s="107">
        <v>0</v>
      </c>
      <c r="H462" s="107">
        <v>0</v>
      </c>
      <c r="I462" s="107">
        <v>0</v>
      </c>
      <c r="J462" s="107">
        <v>0</v>
      </c>
      <c r="K462" s="107"/>
      <c r="L462" s="107"/>
      <c r="M462" s="107">
        <v>0</v>
      </c>
      <c r="N462" s="107">
        <v>2736680.7350400002</v>
      </c>
      <c r="O462" s="107">
        <v>0</v>
      </c>
      <c r="P462" s="107">
        <v>0</v>
      </c>
      <c r="Q462" s="107"/>
      <c r="R462" s="107"/>
      <c r="S462" s="108"/>
      <c r="T462" s="145">
        <v>55518.508711800008</v>
      </c>
      <c r="U462" s="23">
        <f t="shared" si="54"/>
        <v>1</v>
      </c>
    </row>
    <row r="463" spans="1:22" x14ac:dyDescent="0.25">
      <c r="A463" s="102">
        <f t="shared" si="53"/>
        <v>445</v>
      </c>
      <c r="B463" s="101">
        <f t="shared" si="53"/>
        <v>257</v>
      </c>
      <c r="C463" s="73" t="s">
        <v>60</v>
      </c>
      <c r="D463" s="120" t="s">
        <v>712</v>
      </c>
      <c r="E463" s="123">
        <f t="shared" si="48"/>
        <v>6636678.46</v>
      </c>
      <c r="F463" s="107">
        <v>1320658.3173839999</v>
      </c>
      <c r="G463" s="107">
        <v>0</v>
      </c>
      <c r="H463" s="107">
        <v>0</v>
      </c>
      <c r="I463" s="107">
        <v>737257.57992599998</v>
      </c>
      <c r="J463" s="107">
        <v>0</v>
      </c>
      <c r="K463" s="107"/>
      <c r="L463" s="107"/>
      <c r="M463" s="107">
        <v>0</v>
      </c>
      <c r="N463" s="107">
        <v>1613252.1332339998</v>
      </c>
      <c r="O463" s="107">
        <v>0</v>
      </c>
      <c r="P463" s="107">
        <v>2823485.5104120001</v>
      </c>
      <c r="Q463" s="107">
        <v>0</v>
      </c>
      <c r="R463" s="107"/>
      <c r="S463" s="108"/>
      <c r="T463" s="145">
        <v>142024.91904400001</v>
      </c>
      <c r="U463" s="23">
        <f t="shared" si="54"/>
        <v>4</v>
      </c>
    </row>
    <row r="464" spans="1:22" x14ac:dyDescent="0.25">
      <c r="A464" s="102">
        <f t="shared" ref="A464:B479" si="55">+A463+1</f>
        <v>446</v>
      </c>
      <c r="B464" s="101">
        <f t="shared" si="55"/>
        <v>258</v>
      </c>
      <c r="C464" s="73" t="s">
        <v>60</v>
      </c>
      <c r="D464" s="120" t="s">
        <v>707</v>
      </c>
      <c r="E464" s="123">
        <f t="shared" ref="E464:E480" si="56">SUBTOTAL(9,F464:T464)</f>
        <v>1958541.8158535203</v>
      </c>
      <c r="F464" s="107">
        <v>0</v>
      </c>
      <c r="G464" s="107">
        <v>0</v>
      </c>
      <c r="H464" s="107"/>
      <c r="I464" s="107">
        <v>0</v>
      </c>
      <c r="J464" s="107">
        <v>0</v>
      </c>
      <c r="K464" s="107"/>
      <c r="L464" s="107"/>
      <c r="M464" s="107">
        <v>0</v>
      </c>
      <c r="N464" s="107">
        <v>0</v>
      </c>
      <c r="O464" s="107">
        <v>0</v>
      </c>
      <c r="P464" s="107">
        <v>1919964.7690860003</v>
      </c>
      <c r="Q464" s="107">
        <v>0</v>
      </c>
      <c r="R464" s="107"/>
      <c r="S464" s="108"/>
      <c r="T464" s="145">
        <v>38577.046767520005</v>
      </c>
      <c r="U464" s="23">
        <f t="shared" si="54"/>
        <v>1</v>
      </c>
    </row>
    <row r="465" spans="1:22" x14ac:dyDescent="0.25">
      <c r="A465" s="102">
        <f t="shared" si="55"/>
        <v>447</v>
      </c>
      <c r="B465" s="101">
        <f t="shared" si="55"/>
        <v>259</v>
      </c>
      <c r="C465" s="73" t="s">
        <v>60</v>
      </c>
      <c r="D465" s="120" t="s">
        <v>708</v>
      </c>
      <c r="E465" s="123">
        <f t="shared" si="56"/>
        <v>14630973.174031259</v>
      </c>
      <c r="F465" s="107">
        <v>2788532.6780639999</v>
      </c>
      <c r="G465" s="107">
        <v>0</v>
      </c>
      <c r="H465" s="107"/>
      <c r="I465" s="107">
        <v>1566144.8148779999</v>
      </c>
      <c r="J465" s="107">
        <v>0</v>
      </c>
      <c r="K465" s="107"/>
      <c r="L465" s="107">
        <v>616763.67752999999</v>
      </c>
      <c r="M465" s="107">
        <v>0</v>
      </c>
      <c r="N465" s="107">
        <v>3422622.3707340001</v>
      </c>
      <c r="O465" s="107">
        <v>0</v>
      </c>
      <c r="P465" s="107">
        <v>5952055.6381440004</v>
      </c>
      <c r="Q465" s="107"/>
      <c r="R465" s="107"/>
      <c r="S465" s="108"/>
      <c r="T465" s="145">
        <v>284853.99468125997</v>
      </c>
      <c r="U465" s="23">
        <f t="shared" si="54"/>
        <v>5</v>
      </c>
    </row>
    <row r="466" spans="1:22" x14ac:dyDescent="0.25">
      <c r="A466" s="102">
        <f t="shared" si="55"/>
        <v>448</v>
      </c>
      <c r="B466" s="101">
        <f t="shared" si="55"/>
        <v>260</v>
      </c>
      <c r="C466" s="73" t="s">
        <v>60</v>
      </c>
      <c r="D466" s="120" t="s">
        <v>710</v>
      </c>
      <c r="E466" s="123">
        <f t="shared" si="56"/>
        <v>6038708.3828797396</v>
      </c>
      <c r="F466" s="107">
        <v>1207621.7677859999</v>
      </c>
      <c r="G466" s="107">
        <v>0</v>
      </c>
      <c r="H466" s="107">
        <v>0</v>
      </c>
      <c r="I466" s="107">
        <v>674481.81868200004</v>
      </c>
      <c r="J466" s="107">
        <v>0</v>
      </c>
      <c r="K466" s="107"/>
      <c r="L466" s="107"/>
      <c r="M466" s="107">
        <v>0</v>
      </c>
      <c r="N466" s="107">
        <v>1465015.4884260001</v>
      </c>
      <c r="O466" s="107">
        <v>0</v>
      </c>
      <c r="P466" s="107">
        <v>2572639.0445699999</v>
      </c>
      <c r="Q466" s="107"/>
      <c r="R466" s="107"/>
      <c r="S466" s="108"/>
      <c r="T466" s="145">
        <v>118950.26341574</v>
      </c>
      <c r="U466" s="23">
        <f t="shared" si="54"/>
        <v>4</v>
      </c>
    </row>
    <row r="467" spans="1:22" x14ac:dyDescent="0.25">
      <c r="A467" s="102">
        <f t="shared" si="55"/>
        <v>449</v>
      </c>
      <c r="B467" s="101">
        <f t="shared" si="55"/>
        <v>261</v>
      </c>
      <c r="C467" s="73" t="s">
        <v>60</v>
      </c>
      <c r="D467" s="120" t="s">
        <v>709</v>
      </c>
      <c r="E467" s="123">
        <f t="shared" si="56"/>
        <v>7180288.0364000006</v>
      </c>
      <c r="F467" s="107">
        <v>1536923.9460959998</v>
      </c>
      <c r="G467" s="107">
        <v>0</v>
      </c>
      <c r="H467" s="107">
        <v>0</v>
      </c>
      <c r="I467" s="107"/>
      <c r="J467" s="107">
        <v>0</v>
      </c>
      <c r="K467" s="107"/>
      <c r="L467" s="107">
        <v>334977.14468904003</v>
      </c>
      <c r="M467" s="107">
        <v>0</v>
      </c>
      <c r="N467" s="107">
        <v>1876117.9502100002</v>
      </c>
      <c r="O467" s="107">
        <v>0</v>
      </c>
      <c r="P467" s="107">
        <v>3278610.8314260002</v>
      </c>
      <c r="Q467" s="107"/>
      <c r="R467" s="107"/>
      <c r="S467" s="108"/>
      <c r="T467" s="145">
        <v>153658.16397896002</v>
      </c>
      <c r="U467" s="23">
        <f t="shared" si="54"/>
        <v>4</v>
      </c>
    </row>
    <row r="468" spans="1:22" x14ac:dyDescent="0.25">
      <c r="A468" s="102">
        <f t="shared" si="55"/>
        <v>450</v>
      </c>
      <c r="B468" s="101">
        <f t="shared" si="55"/>
        <v>262</v>
      </c>
      <c r="C468" s="73" t="s">
        <v>71</v>
      </c>
      <c r="D468" s="120" t="s">
        <v>713</v>
      </c>
      <c r="E468" s="123">
        <f t="shared" si="56"/>
        <v>16911087.399999999</v>
      </c>
      <c r="F468" s="107">
        <v>1683565.8969639998</v>
      </c>
      <c r="G468" s="107">
        <v>1040219.4703179998</v>
      </c>
      <c r="H468" s="107">
        <v>488517.72999399999</v>
      </c>
      <c r="I468" s="107">
        <v>423331.30508199998</v>
      </c>
      <c r="J468" s="107">
        <v>0</v>
      </c>
      <c r="K468" s="107"/>
      <c r="L468" s="107">
        <v>147640.393614</v>
      </c>
      <c r="M468" s="107">
        <v>0</v>
      </c>
      <c r="N468" s="107">
        <v>4805741.3532099994</v>
      </c>
      <c r="O468" s="107">
        <v>0</v>
      </c>
      <c r="P468" s="107">
        <v>4013795.9746779995</v>
      </c>
      <c r="Q468" s="107">
        <v>3549227.0136119998</v>
      </c>
      <c r="R468" s="107">
        <v>367161.21</v>
      </c>
      <c r="S468" s="107">
        <f>38674.67</f>
        <v>38674.67</v>
      </c>
      <c r="T468" s="145">
        <v>353212.38252800005</v>
      </c>
      <c r="U468" s="23">
        <f t="shared" si="54"/>
        <v>8</v>
      </c>
    </row>
    <row r="469" spans="1:22" x14ac:dyDescent="0.25">
      <c r="A469" s="102">
        <f t="shared" si="55"/>
        <v>451</v>
      </c>
      <c r="B469" s="101">
        <f t="shared" si="55"/>
        <v>263</v>
      </c>
      <c r="C469" s="73" t="s">
        <v>69</v>
      </c>
      <c r="D469" s="120" t="s">
        <v>711</v>
      </c>
      <c r="E469" s="123">
        <f t="shared" si="56"/>
        <v>5471090.385000119</v>
      </c>
      <c r="F469" s="107">
        <v>2405495.4171779994</v>
      </c>
      <c r="G469" s="107">
        <v>0</v>
      </c>
      <c r="H469" s="107">
        <v>0</v>
      </c>
      <c r="I469" s="107">
        <v>0</v>
      </c>
      <c r="J469" s="107">
        <v>0</v>
      </c>
      <c r="K469" s="107"/>
      <c r="L469" s="107"/>
      <c r="M469" s="107">
        <v>0</v>
      </c>
      <c r="N469" s="107">
        <v>2946332.8479479998</v>
      </c>
      <c r="O469" s="107">
        <v>0</v>
      </c>
      <c r="P469" s="107">
        <v>0</v>
      </c>
      <c r="Q469" s="107"/>
      <c r="R469" s="107"/>
      <c r="S469" s="108"/>
      <c r="T469" s="145">
        <v>119262.11987412002</v>
      </c>
      <c r="U469" s="23">
        <f t="shared" si="54"/>
        <v>2</v>
      </c>
    </row>
    <row r="470" spans="1:22" x14ac:dyDescent="0.25">
      <c r="A470" s="102">
        <f t="shared" si="55"/>
        <v>452</v>
      </c>
      <c r="B470" s="101">
        <f t="shared" si="55"/>
        <v>264</v>
      </c>
      <c r="C470" s="73" t="s">
        <v>61</v>
      </c>
      <c r="D470" s="120" t="s">
        <v>714</v>
      </c>
      <c r="E470" s="123">
        <f t="shared" si="56"/>
        <v>6209439.0055262595</v>
      </c>
      <c r="F470" s="107">
        <v>0</v>
      </c>
      <c r="G470" s="107">
        <v>0</v>
      </c>
      <c r="H470" s="107">
        <v>0</v>
      </c>
      <c r="I470" s="107">
        <v>0</v>
      </c>
      <c r="J470" s="107">
        <v>0</v>
      </c>
      <c r="K470" s="107"/>
      <c r="L470" s="107"/>
      <c r="M470" s="107">
        <v>0</v>
      </c>
      <c r="N470" s="107">
        <v>0</v>
      </c>
      <c r="O470" s="107">
        <v>0</v>
      </c>
      <c r="P470" s="107">
        <v>0</v>
      </c>
      <c r="Q470" s="107">
        <v>6039757.0999999996</v>
      </c>
      <c r="R470" s="107"/>
      <c r="S470" s="108"/>
      <c r="T470" s="145">
        <v>169681.90552626003</v>
      </c>
      <c r="U470" s="23">
        <f t="shared" si="54"/>
        <v>1</v>
      </c>
      <c r="V470" s="1" t="s">
        <v>146</v>
      </c>
    </row>
    <row r="471" spans="1:22" x14ac:dyDescent="0.25">
      <c r="A471" s="102">
        <f t="shared" si="55"/>
        <v>453</v>
      </c>
      <c r="B471" s="101">
        <f t="shared" si="55"/>
        <v>265</v>
      </c>
      <c r="C471" s="73" t="s">
        <v>61</v>
      </c>
      <c r="D471" s="120" t="s">
        <v>206</v>
      </c>
      <c r="E471" s="123">
        <f t="shared" si="56"/>
        <v>1050228.8737864401</v>
      </c>
      <c r="F471" s="107">
        <v>0</v>
      </c>
      <c r="G471" s="107">
        <v>0</v>
      </c>
      <c r="H471" s="107">
        <v>0</v>
      </c>
      <c r="I471" s="107">
        <v>0</v>
      </c>
      <c r="J471" s="107">
        <v>1026987.1700000002</v>
      </c>
      <c r="K471" s="107"/>
      <c r="L471" s="107"/>
      <c r="M471" s="107">
        <v>0</v>
      </c>
      <c r="N471" s="107">
        <v>0</v>
      </c>
      <c r="O471" s="107">
        <v>0</v>
      </c>
      <c r="P471" s="107">
        <v>0</v>
      </c>
      <c r="Q471" s="107">
        <v>0</v>
      </c>
      <c r="R471" s="107"/>
      <c r="S471" s="108"/>
      <c r="T471" s="145">
        <v>23241.703786440004</v>
      </c>
      <c r="U471" s="23">
        <f t="shared" si="54"/>
        <v>1</v>
      </c>
      <c r="V471" s="1" t="s">
        <v>146</v>
      </c>
    </row>
    <row r="472" spans="1:22" x14ac:dyDescent="0.25">
      <c r="A472" s="102">
        <f t="shared" si="55"/>
        <v>454</v>
      </c>
      <c r="B472" s="101">
        <f t="shared" si="55"/>
        <v>266</v>
      </c>
      <c r="C472" s="73" t="s">
        <v>61</v>
      </c>
      <c r="D472" s="120" t="s">
        <v>715</v>
      </c>
      <c r="E472" s="123">
        <f t="shared" si="56"/>
        <v>293473.29564598005</v>
      </c>
      <c r="F472" s="107">
        <v>0</v>
      </c>
      <c r="G472" s="107">
        <v>0</v>
      </c>
      <c r="H472" s="107">
        <v>0</v>
      </c>
      <c r="I472" s="107">
        <v>0</v>
      </c>
      <c r="J472" s="107">
        <v>286699.09000000003</v>
      </c>
      <c r="K472" s="107"/>
      <c r="L472" s="107"/>
      <c r="M472" s="107">
        <v>0</v>
      </c>
      <c r="N472" s="107">
        <v>0</v>
      </c>
      <c r="O472" s="107">
        <v>0</v>
      </c>
      <c r="P472" s="107">
        <v>0</v>
      </c>
      <c r="Q472" s="107">
        <v>0</v>
      </c>
      <c r="R472" s="107"/>
      <c r="S472" s="108"/>
      <c r="T472" s="145">
        <v>6774.2056459800015</v>
      </c>
      <c r="U472" s="23">
        <f t="shared" si="54"/>
        <v>1</v>
      </c>
      <c r="V472" s="1" t="s">
        <v>146</v>
      </c>
    </row>
    <row r="473" spans="1:22" x14ac:dyDescent="0.25">
      <c r="A473" s="102">
        <f t="shared" si="55"/>
        <v>455</v>
      </c>
      <c r="B473" s="101">
        <f t="shared" si="55"/>
        <v>267</v>
      </c>
      <c r="C473" s="73" t="s">
        <v>61</v>
      </c>
      <c r="D473" s="120" t="s">
        <v>716</v>
      </c>
      <c r="E473" s="123">
        <f t="shared" si="56"/>
        <v>321001.14</v>
      </c>
      <c r="F473" s="107">
        <v>0</v>
      </c>
      <c r="G473" s="107">
        <v>0</v>
      </c>
      <c r="H473" s="107">
        <v>0</v>
      </c>
      <c r="I473" s="107">
        <v>0</v>
      </c>
      <c r="J473" s="107">
        <v>318383.06</v>
      </c>
      <c r="K473" s="107"/>
      <c r="L473" s="107"/>
      <c r="M473" s="107">
        <v>0</v>
      </c>
      <c r="N473" s="107">
        <v>0</v>
      </c>
      <c r="O473" s="107">
        <v>0</v>
      </c>
      <c r="P473" s="107">
        <v>0</v>
      </c>
      <c r="Q473" s="107">
        <v>0</v>
      </c>
      <c r="R473" s="107"/>
      <c r="S473" s="108"/>
      <c r="T473" s="145">
        <v>2618.08</v>
      </c>
      <c r="U473" s="23">
        <f t="shared" si="54"/>
        <v>1</v>
      </c>
      <c r="V473" s="1" t="s">
        <v>146</v>
      </c>
    </row>
    <row r="474" spans="1:22" x14ac:dyDescent="0.25">
      <c r="A474" s="102">
        <f t="shared" si="55"/>
        <v>456</v>
      </c>
      <c r="B474" s="101">
        <f t="shared" si="55"/>
        <v>268</v>
      </c>
      <c r="C474" s="73" t="s">
        <v>62</v>
      </c>
      <c r="D474" s="120" t="s">
        <v>717</v>
      </c>
      <c r="E474" s="123">
        <f t="shared" si="56"/>
        <v>1873270.93</v>
      </c>
      <c r="F474" s="107">
        <v>0</v>
      </c>
      <c r="G474" s="107">
        <v>0</v>
      </c>
      <c r="H474" s="107">
        <v>0</v>
      </c>
      <c r="I474" s="107">
        <v>0</v>
      </c>
      <c r="J474" s="107">
        <v>1859152.43</v>
      </c>
      <c r="K474" s="107"/>
      <c r="L474" s="107"/>
      <c r="M474" s="107">
        <v>0</v>
      </c>
      <c r="N474" s="107">
        <v>0</v>
      </c>
      <c r="O474" s="107">
        <v>0</v>
      </c>
      <c r="P474" s="107">
        <v>0</v>
      </c>
      <c r="Q474" s="107">
        <v>0</v>
      </c>
      <c r="R474" s="107"/>
      <c r="S474" s="108"/>
      <c r="T474" s="145">
        <v>14118.5</v>
      </c>
      <c r="U474" s="23">
        <f t="shared" si="54"/>
        <v>1</v>
      </c>
      <c r="V474" s="1" t="s">
        <v>146</v>
      </c>
    </row>
    <row r="475" spans="1:22" x14ac:dyDescent="0.25">
      <c r="A475" s="102">
        <f t="shared" si="55"/>
        <v>457</v>
      </c>
      <c r="B475" s="101">
        <f t="shared" si="55"/>
        <v>269</v>
      </c>
      <c r="C475" s="73" t="s">
        <v>62</v>
      </c>
      <c r="D475" s="120" t="s">
        <v>718</v>
      </c>
      <c r="E475" s="123">
        <f t="shared" si="56"/>
        <v>2251948.8353626798</v>
      </c>
      <c r="F475" s="107"/>
      <c r="G475" s="107">
        <v>0</v>
      </c>
      <c r="H475" s="107">
        <v>0</v>
      </c>
      <c r="I475" s="107">
        <v>0</v>
      </c>
      <c r="J475" s="107"/>
      <c r="K475" s="107"/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1961437.3199999998</v>
      </c>
      <c r="R475" s="107"/>
      <c r="S475" s="108"/>
      <c r="T475" s="145">
        <v>290511.51536268002</v>
      </c>
      <c r="U475" s="23">
        <f t="shared" si="54"/>
        <v>1</v>
      </c>
      <c r="V475" s="1" t="s">
        <v>146</v>
      </c>
    </row>
    <row r="476" spans="1:22" x14ac:dyDescent="0.25">
      <c r="A476" s="102">
        <f t="shared" si="55"/>
        <v>458</v>
      </c>
      <c r="B476" s="101">
        <f t="shared" si="55"/>
        <v>270</v>
      </c>
      <c r="C476" s="73" t="s">
        <v>62</v>
      </c>
      <c r="D476" s="120" t="s">
        <v>719</v>
      </c>
      <c r="E476" s="123">
        <f t="shared" si="56"/>
        <v>2442223.62128712</v>
      </c>
      <c r="F476" s="107">
        <v>0</v>
      </c>
      <c r="G476" s="107">
        <v>0</v>
      </c>
      <c r="H476" s="107">
        <v>0</v>
      </c>
      <c r="I476" s="107">
        <v>0</v>
      </c>
      <c r="J476" s="107"/>
      <c r="K476" s="107"/>
      <c r="L476" s="107"/>
      <c r="M476" s="107">
        <v>0</v>
      </c>
      <c r="N476" s="107">
        <v>0</v>
      </c>
      <c r="O476" s="107">
        <v>0</v>
      </c>
      <c r="P476" s="107">
        <v>0</v>
      </c>
      <c r="Q476" s="107">
        <v>2292179.81</v>
      </c>
      <c r="R476" s="107"/>
      <c r="S476" s="108"/>
      <c r="T476" s="145">
        <v>150043.81128712001</v>
      </c>
      <c r="U476" s="23">
        <f t="shared" si="54"/>
        <v>1</v>
      </c>
      <c r="V476" s="1" t="s">
        <v>146</v>
      </c>
    </row>
    <row r="477" spans="1:22" x14ac:dyDescent="0.25">
      <c r="A477" s="102">
        <f t="shared" si="55"/>
        <v>459</v>
      </c>
      <c r="B477" s="101">
        <f t="shared" si="55"/>
        <v>271</v>
      </c>
      <c r="C477" s="73" t="s">
        <v>62</v>
      </c>
      <c r="D477" s="120" t="s">
        <v>210</v>
      </c>
      <c r="E477" s="123">
        <f t="shared" si="56"/>
        <v>6432710.1713439999</v>
      </c>
      <c r="F477" s="107">
        <v>0</v>
      </c>
      <c r="G477" s="107">
        <v>0</v>
      </c>
      <c r="H477" s="107">
        <v>0</v>
      </c>
      <c r="I477" s="107">
        <v>0</v>
      </c>
      <c r="J477" s="107"/>
      <c r="K477" s="107"/>
      <c r="L477" s="107"/>
      <c r="M477" s="107">
        <v>0</v>
      </c>
      <c r="N477" s="107">
        <v>0</v>
      </c>
      <c r="O477" s="107">
        <v>0</v>
      </c>
      <c r="P477" s="107"/>
      <c r="Q477" s="107">
        <v>6280344.04</v>
      </c>
      <c r="R477" s="107"/>
      <c r="S477" s="108"/>
      <c r="T477" s="145">
        <v>152366.13134399999</v>
      </c>
      <c r="U477" s="23">
        <f t="shared" si="54"/>
        <v>1</v>
      </c>
    </row>
    <row r="478" spans="1:22" x14ac:dyDescent="0.25">
      <c r="A478" s="102">
        <f t="shared" si="55"/>
        <v>460</v>
      </c>
      <c r="B478" s="101">
        <f t="shared" si="55"/>
        <v>272</v>
      </c>
      <c r="C478" s="73" t="s">
        <v>62</v>
      </c>
      <c r="D478" s="120" t="s">
        <v>208</v>
      </c>
      <c r="E478" s="123">
        <f t="shared" si="56"/>
        <v>6210065.9474952389</v>
      </c>
      <c r="F478" s="107"/>
      <c r="G478" s="107">
        <v>0</v>
      </c>
      <c r="H478" s="107">
        <v>0</v>
      </c>
      <c r="I478" s="107">
        <v>0</v>
      </c>
      <c r="J478" s="107"/>
      <c r="K478" s="107"/>
      <c r="L478" s="107"/>
      <c r="M478" s="107">
        <v>0</v>
      </c>
      <c r="N478" s="107">
        <v>0</v>
      </c>
      <c r="O478" s="107">
        <v>0</v>
      </c>
      <c r="P478" s="107">
        <v>5910943.6999999993</v>
      </c>
      <c r="Q478" s="107"/>
      <c r="R478" s="107"/>
      <c r="S478" s="108"/>
      <c r="T478" s="145">
        <v>299122.24749524001</v>
      </c>
      <c r="U478" s="23">
        <f t="shared" si="54"/>
        <v>1</v>
      </c>
      <c r="V478" s="1" t="s">
        <v>146</v>
      </c>
    </row>
    <row r="479" spans="1:22" x14ac:dyDescent="0.25">
      <c r="A479" s="102">
        <f t="shared" si="55"/>
        <v>461</v>
      </c>
      <c r="B479" s="101">
        <f t="shared" si="55"/>
        <v>273</v>
      </c>
      <c r="C479" s="73" t="s">
        <v>62</v>
      </c>
      <c r="D479" s="120" t="s">
        <v>720</v>
      </c>
      <c r="E479" s="123">
        <f t="shared" si="56"/>
        <v>340500.39751072001</v>
      </c>
      <c r="F479" s="107"/>
      <c r="G479" s="107"/>
      <c r="H479" s="107"/>
      <c r="I479" s="107"/>
      <c r="J479" s="107">
        <v>320937.5</v>
      </c>
      <c r="K479" s="107"/>
      <c r="L479" s="107"/>
      <c r="M479" s="107">
        <v>0</v>
      </c>
      <c r="N479" s="107">
        <v>0</v>
      </c>
      <c r="O479" s="107">
        <v>0</v>
      </c>
      <c r="P479" s="107">
        <v>0</v>
      </c>
      <c r="Q479" s="107">
        <v>0</v>
      </c>
      <c r="R479" s="107"/>
      <c r="S479" s="108"/>
      <c r="T479" s="145">
        <v>19562.897510720002</v>
      </c>
      <c r="U479" s="23">
        <f t="shared" si="54"/>
        <v>1</v>
      </c>
      <c r="V479" s="1" t="s">
        <v>149</v>
      </c>
    </row>
    <row r="480" spans="1:22" x14ac:dyDescent="0.25">
      <c r="A480" s="102">
        <f t="shared" ref="A480:B480" si="57">+A479+1</f>
        <v>462</v>
      </c>
      <c r="B480" s="101">
        <f t="shared" si="57"/>
        <v>274</v>
      </c>
      <c r="C480" s="73" t="s">
        <v>62</v>
      </c>
      <c r="D480" s="120" t="s">
        <v>209</v>
      </c>
      <c r="E480" s="123">
        <f t="shared" si="56"/>
        <v>13274787.34</v>
      </c>
      <c r="F480" s="107">
        <v>0</v>
      </c>
      <c r="G480" s="107">
        <v>0</v>
      </c>
      <c r="H480" s="107">
        <v>0</v>
      </c>
      <c r="I480" s="107">
        <v>0</v>
      </c>
      <c r="J480" s="107">
        <v>0</v>
      </c>
      <c r="K480" s="107"/>
      <c r="L480" s="107"/>
      <c r="M480" s="107">
        <v>0</v>
      </c>
      <c r="N480" s="107">
        <v>0</v>
      </c>
      <c r="O480" s="107">
        <v>0</v>
      </c>
      <c r="P480" s="107">
        <v>7231455.4199999999</v>
      </c>
      <c r="Q480" s="107">
        <v>5881945.1899999995</v>
      </c>
      <c r="R480" s="107"/>
      <c r="S480" s="108"/>
      <c r="T480" s="145">
        <v>161386.72999999998</v>
      </c>
      <c r="U480" s="23">
        <f t="shared" si="54"/>
        <v>2</v>
      </c>
    </row>
    <row r="481" spans="1:21" s="54" customFormat="1" x14ac:dyDescent="0.25">
      <c r="A481" s="162"/>
      <c r="B481" s="162"/>
      <c r="C481" s="162"/>
      <c r="D481" s="163">
        <v>2024</v>
      </c>
      <c r="E481" s="132">
        <f>SUM(F481:T481)</f>
        <v>3884331013.8111649</v>
      </c>
      <c r="F481" s="132">
        <f t="shared" ref="F481:U481" si="58">SUM(F482:F753)</f>
        <v>702762687.13534963</v>
      </c>
      <c r="G481" s="132">
        <f t="shared" si="58"/>
        <v>222899467.66319662</v>
      </c>
      <c r="H481" s="132">
        <f t="shared" si="58"/>
        <v>254861306.60086748</v>
      </c>
      <c r="I481" s="132">
        <f t="shared" si="58"/>
        <v>152390128.79292655</v>
      </c>
      <c r="J481" s="132">
        <f t="shared" si="58"/>
        <v>38248331.975029044</v>
      </c>
      <c r="K481" s="132">
        <f t="shared" si="58"/>
        <v>0</v>
      </c>
      <c r="L481" s="132">
        <f t="shared" si="58"/>
        <v>30540614.547949266</v>
      </c>
      <c r="M481" s="132">
        <f t="shared" si="58"/>
        <v>282011403.52595919</v>
      </c>
      <c r="N481" s="132">
        <f t="shared" si="58"/>
        <v>594047338.02545297</v>
      </c>
      <c r="O481" s="132">
        <f t="shared" si="58"/>
        <v>109174943.25095972</v>
      </c>
      <c r="P481" s="132">
        <f t="shared" si="58"/>
        <v>917396192.35259283</v>
      </c>
      <c r="Q481" s="132">
        <f t="shared" si="58"/>
        <v>418786616.43499768</v>
      </c>
      <c r="R481" s="132">
        <f t="shared" si="58"/>
        <v>71794587.310364038</v>
      </c>
      <c r="S481" s="132">
        <f t="shared" si="58"/>
        <v>6865967.5069920206</v>
      </c>
      <c r="T481" s="132">
        <f t="shared" si="58"/>
        <v>82551428.688527435</v>
      </c>
      <c r="U481" s="57">
        <f t="shared" si="58"/>
        <v>691</v>
      </c>
    </row>
    <row r="482" spans="1:21" s="34" customFormat="1" x14ac:dyDescent="0.25">
      <c r="A482" s="103">
        <f>+A480+1</f>
        <v>463</v>
      </c>
      <c r="B482" s="104">
        <f t="shared" ref="B482:B545" si="59">+B481+1</f>
        <v>1</v>
      </c>
      <c r="C482" s="73" t="s">
        <v>48</v>
      </c>
      <c r="D482" s="146" t="s">
        <v>372</v>
      </c>
      <c r="E482" s="147">
        <f t="shared" ref="E482:E497" si="60">SUBTOTAL(9,F482:T482)</f>
        <v>10774080</v>
      </c>
      <c r="F482" s="148">
        <v>0</v>
      </c>
      <c r="G482" s="148">
        <v>0</v>
      </c>
      <c r="H482" s="148">
        <v>0</v>
      </c>
      <c r="I482" s="148">
        <v>0</v>
      </c>
      <c r="J482" s="148"/>
      <c r="K482" s="148">
        <v>0</v>
      </c>
      <c r="L482" s="148"/>
      <c r="M482" s="148">
        <v>10121774.10048</v>
      </c>
      <c r="N482" s="148">
        <v>0</v>
      </c>
      <c r="O482" s="148">
        <v>0</v>
      </c>
      <c r="P482" s="148">
        <v>0</v>
      </c>
      <c r="Q482" s="148">
        <v>0</v>
      </c>
      <c r="R482" s="148">
        <v>323222.39999999997</v>
      </c>
      <c r="S482" s="149">
        <v>107740.8</v>
      </c>
      <c r="T482" s="150">
        <v>221342.69951999999</v>
      </c>
      <c r="U482" s="23">
        <f t="shared" ref="U482:U497" si="61">COUNTIF(F482:Q482,"&gt;0")</f>
        <v>1</v>
      </c>
    </row>
    <row r="483" spans="1:21" s="37" customFormat="1" x14ac:dyDescent="0.25">
      <c r="A483" s="102">
        <f t="shared" ref="A483:A546" si="62">+A482+1</f>
        <v>464</v>
      </c>
      <c r="B483" s="101">
        <f t="shared" si="59"/>
        <v>2</v>
      </c>
      <c r="C483" s="73" t="s">
        <v>48</v>
      </c>
      <c r="D483" s="120" t="s">
        <v>373</v>
      </c>
      <c r="E483" s="123">
        <f t="shared" si="60"/>
        <v>4549017.9478423689</v>
      </c>
      <c r="F483" s="107">
        <v>0</v>
      </c>
      <c r="G483" s="107">
        <v>0</v>
      </c>
      <c r="H483" s="107">
        <v>0</v>
      </c>
      <c r="I483" s="107">
        <v>0</v>
      </c>
      <c r="J483" s="107">
        <v>0</v>
      </c>
      <c r="K483" s="107"/>
      <c r="L483" s="107"/>
      <c r="M483" s="107">
        <v>0</v>
      </c>
      <c r="N483" s="107">
        <v>0</v>
      </c>
      <c r="O483" s="107">
        <v>4451668.9637585422</v>
      </c>
      <c r="P483" s="107">
        <v>0</v>
      </c>
      <c r="Q483" s="107">
        <v>0</v>
      </c>
      <c r="R483" s="107"/>
      <c r="S483" s="108"/>
      <c r="T483" s="145">
        <v>97348.984083826697</v>
      </c>
      <c r="U483" s="23">
        <f t="shared" si="61"/>
        <v>1</v>
      </c>
    </row>
    <row r="484" spans="1:21" s="37" customFormat="1" x14ac:dyDescent="0.25">
      <c r="A484" s="102">
        <f t="shared" si="62"/>
        <v>465</v>
      </c>
      <c r="B484" s="101">
        <f t="shared" si="59"/>
        <v>3</v>
      </c>
      <c r="C484" s="73" t="s">
        <v>48</v>
      </c>
      <c r="D484" s="120" t="s">
        <v>374</v>
      </c>
      <c r="E484" s="123">
        <f t="shared" si="60"/>
        <v>4987479.0332189836</v>
      </c>
      <c r="F484" s="107">
        <v>0</v>
      </c>
      <c r="G484" s="107">
        <v>0</v>
      </c>
      <c r="H484" s="107">
        <v>0</v>
      </c>
      <c r="I484" s="107">
        <v>0</v>
      </c>
      <c r="J484" s="107">
        <v>0</v>
      </c>
      <c r="K484" s="107"/>
      <c r="L484" s="107"/>
      <c r="M484" s="107">
        <v>0</v>
      </c>
      <c r="N484" s="107">
        <v>0</v>
      </c>
      <c r="O484" s="107">
        <v>4523311.5272682607</v>
      </c>
      <c r="P484" s="107"/>
      <c r="Q484" s="107">
        <v>0</v>
      </c>
      <c r="R484" s="107"/>
      <c r="S484" s="108"/>
      <c r="T484" s="145">
        <v>464167.50595072238</v>
      </c>
      <c r="U484" s="23">
        <f t="shared" si="61"/>
        <v>1</v>
      </c>
    </row>
    <row r="485" spans="1:21" s="38" customFormat="1" x14ac:dyDescent="0.25">
      <c r="A485" s="102">
        <f t="shared" si="62"/>
        <v>466</v>
      </c>
      <c r="B485" s="101">
        <f t="shared" si="59"/>
        <v>4</v>
      </c>
      <c r="C485" s="73" t="s">
        <v>48</v>
      </c>
      <c r="D485" s="120" t="s">
        <v>375</v>
      </c>
      <c r="E485" s="123">
        <f t="shared" si="60"/>
        <v>10970962.953807998</v>
      </c>
      <c r="F485" s="107">
        <v>0</v>
      </c>
      <c r="G485" s="107">
        <v>0</v>
      </c>
      <c r="H485" s="107">
        <v>0</v>
      </c>
      <c r="I485" s="107">
        <v>0</v>
      </c>
      <c r="J485" s="107">
        <v>0</v>
      </c>
      <c r="K485" s="107"/>
      <c r="L485" s="107"/>
      <c r="M485" s="107">
        <v>0</v>
      </c>
      <c r="N485" s="107">
        <v>0</v>
      </c>
      <c r="O485" s="107">
        <v>10736184.346596507</v>
      </c>
      <c r="P485" s="107">
        <v>0</v>
      </c>
      <c r="Q485" s="107">
        <v>0</v>
      </c>
      <c r="R485" s="107"/>
      <c r="S485" s="108"/>
      <c r="T485" s="145">
        <v>234778.60721149118</v>
      </c>
      <c r="U485" s="23">
        <f t="shared" si="61"/>
        <v>1</v>
      </c>
    </row>
    <row r="486" spans="1:21" s="38" customFormat="1" x14ac:dyDescent="0.25">
      <c r="A486" s="102">
        <f t="shared" si="62"/>
        <v>467</v>
      </c>
      <c r="B486" s="101">
        <f t="shared" si="59"/>
        <v>5</v>
      </c>
      <c r="C486" s="73" t="s">
        <v>48</v>
      </c>
      <c r="D486" s="120" t="s">
        <v>376</v>
      </c>
      <c r="E486" s="123">
        <f t="shared" si="60"/>
        <v>31981431.630043585</v>
      </c>
      <c r="F486" s="107">
        <v>0</v>
      </c>
      <c r="G486" s="107">
        <v>0</v>
      </c>
      <c r="H486" s="107">
        <v>9334251.4014987387</v>
      </c>
      <c r="I486" s="107">
        <v>0</v>
      </c>
      <c r="J486" s="107">
        <v>0</v>
      </c>
      <c r="K486" s="107"/>
      <c r="L486" s="107">
        <v>0</v>
      </c>
      <c r="M486" s="107">
        <v>0</v>
      </c>
      <c r="N486" s="107">
        <v>0</v>
      </c>
      <c r="O486" s="107">
        <v>21962777.591661915</v>
      </c>
      <c r="P486" s="107">
        <v>0</v>
      </c>
      <c r="Q486" s="107">
        <v>0</v>
      </c>
      <c r="R486" s="107"/>
      <c r="S486" s="108"/>
      <c r="T486" s="145">
        <v>684402.63688293274</v>
      </c>
      <c r="U486" s="23">
        <f t="shared" si="61"/>
        <v>2</v>
      </c>
    </row>
    <row r="487" spans="1:21" s="38" customFormat="1" x14ac:dyDescent="0.25">
      <c r="A487" s="102">
        <f t="shared" si="62"/>
        <v>468</v>
      </c>
      <c r="B487" s="101">
        <f t="shared" si="59"/>
        <v>6</v>
      </c>
      <c r="C487" s="73" t="s">
        <v>48</v>
      </c>
      <c r="D487" s="120" t="s">
        <v>377</v>
      </c>
      <c r="E487" s="123">
        <f t="shared" si="60"/>
        <v>23386540.825230669</v>
      </c>
      <c r="F487" s="107">
        <v>4841114.6250371793</v>
      </c>
      <c r="G487" s="107">
        <v>0</v>
      </c>
      <c r="H487" s="107">
        <v>1849726.7764977436</v>
      </c>
      <c r="I487" s="107">
        <v>1953691.0272434026</v>
      </c>
      <c r="J487" s="107">
        <v>0</v>
      </c>
      <c r="K487" s="107"/>
      <c r="L487" s="107">
        <v>200996.47018181099</v>
      </c>
      <c r="M487" s="107">
        <v>0</v>
      </c>
      <c r="N487" s="107">
        <v>8008892.8627291396</v>
      </c>
      <c r="O487" s="107">
        <v>3659872.1852388689</v>
      </c>
      <c r="P487" s="107">
        <v>0</v>
      </c>
      <c r="Q487" s="107">
        <v>0</v>
      </c>
      <c r="R487" s="107">
        <v>2189775.4098987123</v>
      </c>
      <c r="S487" s="108">
        <v>233865.40825230666</v>
      </c>
      <c r="T487" s="145">
        <v>448606.06015150441</v>
      </c>
      <c r="U487" s="23">
        <f t="shared" si="61"/>
        <v>6</v>
      </c>
    </row>
    <row r="488" spans="1:21" s="38" customFormat="1" x14ac:dyDescent="0.25">
      <c r="A488" s="102">
        <f t="shared" si="62"/>
        <v>469</v>
      </c>
      <c r="B488" s="101">
        <f t="shared" si="59"/>
        <v>7</v>
      </c>
      <c r="C488" s="73" t="s">
        <v>48</v>
      </c>
      <c r="D488" s="120" t="s">
        <v>378</v>
      </c>
      <c r="E488" s="123">
        <f t="shared" si="60"/>
        <v>19276273.093565036</v>
      </c>
      <c r="F488" s="107">
        <v>4864298.7112853639</v>
      </c>
      <c r="G488" s="107">
        <v>0</v>
      </c>
      <c r="H488" s="107">
        <v>1858585.1135633669</v>
      </c>
      <c r="I488" s="107">
        <v>1963047.2488547764</v>
      </c>
      <c r="J488" s="107">
        <v>0</v>
      </c>
      <c r="K488" s="107"/>
      <c r="L488" s="107">
        <v>201959.04179211229</v>
      </c>
      <c r="M488" s="107">
        <v>0</v>
      </c>
      <c r="N488" s="107">
        <v>8047247.431307558</v>
      </c>
      <c r="O488" s="107">
        <v>0</v>
      </c>
      <c r="P488" s="107">
        <v>0</v>
      </c>
      <c r="Q488" s="107">
        <v>0</v>
      </c>
      <c r="R488" s="107">
        <v>1778035.6571284872</v>
      </c>
      <c r="S488" s="108">
        <v>192762.73093565032</v>
      </c>
      <c r="T488" s="145">
        <v>370337.1586977191</v>
      </c>
      <c r="U488" s="23">
        <f t="shared" si="61"/>
        <v>5</v>
      </c>
    </row>
    <row r="489" spans="1:21" x14ac:dyDescent="0.25">
      <c r="A489" s="102">
        <f t="shared" si="62"/>
        <v>470</v>
      </c>
      <c r="B489" s="101">
        <f t="shared" si="59"/>
        <v>8</v>
      </c>
      <c r="C489" s="73" t="s">
        <v>50</v>
      </c>
      <c r="D489" s="120" t="s">
        <v>273</v>
      </c>
      <c r="E489" s="123">
        <f t="shared" si="60"/>
        <v>24874814.574595217</v>
      </c>
      <c r="F489" s="107">
        <v>12131968.210906873</v>
      </c>
      <c r="G489" s="107">
        <v>5844352.9357768334</v>
      </c>
      <c r="H489" s="107">
        <v>3569164.9191403314</v>
      </c>
      <c r="I489" s="107">
        <v>2405162.5578562059</v>
      </c>
      <c r="J489" s="107">
        <v>0</v>
      </c>
      <c r="K489" s="107"/>
      <c r="L489" s="107">
        <v>391844.91901863407</v>
      </c>
      <c r="M489" s="107">
        <v>0</v>
      </c>
      <c r="N489" s="107">
        <v>0</v>
      </c>
      <c r="O489" s="107">
        <v>0</v>
      </c>
      <c r="P489" s="107">
        <v>0</v>
      </c>
      <c r="Q489" s="107">
        <v>0</v>
      </c>
      <c r="R489" s="107"/>
      <c r="S489" s="108"/>
      <c r="T489" s="145">
        <v>532321.03189633763</v>
      </c>
      <c r="U489" s="23">
        <f t="shared" si="61"/>
        <v>5</v>
      </c>
    </row>
    <row r="490" spans="1:21" x14ac:dyDescent="0.25">
      <c r="A490" s="102">
        <f t="shared" si="62"/>
        <v>471</v>
      </c>
      <c r="B490" s="101">
        <f t="shared" si="59"/>
        <v>9</v>
      </c>
      <c r="C490" s="73" t="s">
        <v>50</v>
      </c>
      <c r="D490" s="120" t="s">
        <v>270</v>
      </c>
      <c r="E490" s="123">
        <f t="shared" si="60"/>
        <v>20098294.125966769</v>
      </c>
      <c r="F490" s="107">
        <v>12966620.036643</v>
      </c>
      <c r="G490" s="107"/>
      <c r="H490" s="107"/>
      <c r="I490" s="107">
        <v>2570628.0509279999</v>
      </c>
      <c r="J490" s="107">
        <v>0</v>
      </c>
      <c r="K490" s="107"/>
      <c r="L490" s="107">
        <v>418822.00892279996</v>
      </c>
      <c r="M490" s="107">
        <v>0</v>
      </c>
      <c r="N490" s="107">
        <v>0</v>
      </c>
      <c r="O490" s="107">
        <v>0</v>
      </c>
      <c r="P490" s="107">
        <v>0</v>
      </c>
      <c r="Q490" s="107">
        <v>3496811.6598338219</v>
      </c>
      <c r="R490" s="107"/>
      <c r="S490" s="108"/>
      <c r="T490" s="145">
        <v>645412.36963914591</v>
      </c>
      <c r="U490" s="23">
        <f t="shared" si="61"/>
        <v>4</v>
      </c>
    </row>
    <row r="491" spans="1:21" x14ac:dyDescent="0.25">
      <c r="A491" s="102">
        <f t="shared" si="62"/>
        <v>472</v>
      </c>
      <c r="B491" s="101">
        <f t="shared" si="59"/>
        <v>10</v>
      </c>
      <c r="C491" s="73" t="s">
        <v>50</v>
      </c>
      <c r="D491" s="120" t="s">
        <v>274</v>
      </c>
      <c r="E491" s="123">
        <f t="shared" si="60"/>
        <v>17775956.210939597</v>
      </c>
      <c r="F491" s="107">
        <v>8669706.261442598</v>
      </c>
      <c r="G491" s="107">
        <v>4176471.8107184474</v>
      </c>
      <c r="H491" s="107">
        <v>2550584.6132842074</v>
      </c>
      <c r="I491" s="107">
        <v>1718769.1663160517</v>
      </c>
      <c r="J491" s="107">
        <v>0</v>
      </c>
      <c r="K491" s="107"/>
      <c r="L491" s="107">
        <v>280018.89626418491</v>
      </c>
      <c r="M491" s="107">
        <v>0</v>
      </c>
      <c r="N491" s="107">
        <v>0</v>
      </c>
      <c r="O491" s="107">
        <v>0</v>
      </c>
      <c r="P491" s="107">
        <v>0</v>
      </c>
      <c r="Q491" s="107">
        <v>0</v>
      </c>
      <c r="R491" s="107"/>
      <c r="S491" s="108"/>
      <c r="T491" s="145">
        <v>380405.46291410743</v>
      </c>
      <c r="U491" s="23">
        <f t="shared" si="61"/>
        <v>5</v>
      </c>
    </row>
    <row r="492" spans="1:21" x14ac:dyDescent="0.25">
      <c r="A492" s="102">
        <f t="shared" si="62"/>
        <v>473</v>
      </c>
      <c r="B492" s="101">
        <f t="shared" si="59"/>
        <v>11</v>
      </c>
      <c r="C492" s="73" t="s">
        <v>50</v>
      </c>
      <c r="D492" s="120" t="s">
        <v>275</v>
      </c>
      <c r="E492" s="123">
        <f t="shared" si="60"/>
        <v>26824385.298744265</v>
      </c>
      <c r="F492" s="107">
        <v>14432823.302317059</v>
      </c>
      <c r="G492" s="107">
        <v>7108989.1508563198</v>
      </c>
      <c r="H492" s="107">
        <v>4341482.2764144</v>
      </c>
      <c r="I492" s="107">
        <v>0</v>
      </c>
      <c r="J492" s="107">
        <v>0</v>
      </c>
      <c r="K492" s="107">
        <v>0</v>
      </c>
      <c r="L492" s="107">
        <v>432862.10529120005</v>
      </c>
      <c r="M492" s="107">
        <v>0</v>
      </c>
      <c r="N492" s="107">
        <v>0</v>
      </c>
      <c r="O492" s="107">
        <v>0</v>
      </c>
      <c r="P492" s="107">
        <v>0</v>
      </c>
      <c r="Q492" s="107">
        <v>0</v>
      </c>
      <c r="R492" s="107"/>
      <c r="S492" s="108"/>
      <c r="T492" s="145">
        <v>508228.46386528754</v>
      </c>
      <c r="U492" s="23">
        <f t="shared" si="61"/>
        <v>4</v>
      </c>
    </row>
    <row r="493" spans="1:21" x14ac:dyDescent="0.25">
      <c r="A493" s="102">
        <f t="shared" si="62"/>
        <v>474</v>
      </c>
      <c r="B493" s="101">
        <f t="shared" si="59"/>
        <v>12</v>
      </c>
      <c r="C493" s="73" t="s">
        <v>50</v>
      </c>
      <c r="D493" s="120" t="s">
        <v>272</v>
      </c>
      <c r="E493" s="123">
        <f t="shared" si="60"/>
        <v>7084313.3406541934</v>
      </c>
      <c r="F493" s="107">
        <v>0</v>
      </c>
      <c r="G493" s="107">
        <v>0</v>
      </c>
      <c r="H493" s="107">
        <v>3130340.41</v>
      </c>
      <c r="I493" s="107">
        <v>2723483.78</v>
      </c>
      <c r="J493" s="107">
        <v>0</v>
      </c>
      <c r="K493" s="107"/>
      <c r="L493" s="107"/>
      <c r="M493" s="107">
        <v>0</v>
      </c>
      <c r="N493" s="107">
        <v>0</v>
      </c>
      <c r="O493" s="107">
        <v>0</v>
      </c>
      <c r="P493" s="107">
        <v>1060064.889085032</v>
      </c>
      <c r="Q493" s="107">
        <v>0</v>
      </c>
      <c r="R493" s="107"/>
      <c r="S493" s="108"/>
      <c r="T493" s="145">
        <v>170424.26156916172</v>
      </c>
      <c r="U493" s="23">
        <f t="shared" si="61"/>
        <v>3</v>
      </c>
    </row>
    <row r="494" spans="1:21" x14ac:dyDescent="0.25">
      <c r="A494" s="102">
        <f t="shared" si="62"/>
        <v>475</v>
      </c>
      <c r="B494" s="101">
        <f t="shared" si="59"/>
        <v>13</v>
      </c>
      <c r="C494" s="73" t="s">
        <v>50</v>
      </c>
      <c r="D494" s="120" t="s">
        <v>269</v>
      </c>
      <c r="E494" s="123">
        <f t="shared" si="60"/>
        <v>792318.11290502013</v>
      </c>
      <c r="F494" s="107">
        <v>0</v>
      </c>
      <c r="G494" s="107">
        <v>0</v>
      </c>
      <c r="H494" s="107">
        <v>766834.98031195218</v>
      </c>
      <c r="I494" s="107"/>
      <c r="J494" s="107">
        <v>0</v>
      </c>
      <c r="K494" s="107"/>
      <c r="L494" s="107"/>
      <c r="M494" s="107">
        <v>0</v>
      </c>
      <c r="N494" s="107">
        <v>0</v>
      </c>
      <c r="O494" s="107">
        <v>0</v>
      </c>
      <c r="P494" s="107">
        <v>0</v>
      </c>
      <c r="Q494" s="107">
        <v>0</v>
      </c>
      <c r="R494" s="107"/>
      <c r="S494" s="108"/>
      <c r="T494" s="145">
        <v>25483.132593067974</v>
      </c>
      <c r="U494" s="23">
        <f t="shared" si="61"/>
        <v>1</v>
      </c>
    </row>
    <row r="495" spans="1:21" x14ac:dyDescent="0.25">
      <c r="A495" s="102">
        <f t="shared" si="62"/>
        <v>476</v>
      </c>
      <c r="B495" s="101">
        <f t="shared" si="59"/>
        <v>14</v>
      </c>
      <c r="C495" s="73" t="s">
        <v>81</v>
      </c>
      <c r="D495" s="120" t="s">
        <v>277</v>
      </c>
      <c r="E495" s="123">
        <f t="shared" si="60"/>
        <v>7182720</v>
      </c>
      <c r="F495" s="107"/>
      <c r="G495" s="107"/>
      <c r="H495" s="107"/>
      <c r="I495" s="107"/>
      <c r="J495" s="107">
        <v>0</v>
      </c>
      <c r="K495" s="107"/>
      <c r="L495" s="107"/>
      <c r="M495" s="107">
        <v>6326108.8128000004</v>
      </c>
      <c r="N495" s="107"/>
      <c r="O495" s="107">
        <v>0</v>
      </c>
      <c r="P495" s="107">
        <v>0</v>
      </c>
      <c r="Q495" s="107">
        <v>0</v>
      </c>
      <c r="R495" s="107">
        <v>646444.79999999993</v>
      </c>
      <c r="S495" s="108">
        <v>71827.199999999997</v>
      </c>
      <c r="T495" s="145">
        <v>138339.18720000001</v>
      </c>
      <c r="U495" s="23">
        <f t="shared" si="61"/>
        <v>1</v>
      </c>
    </row>
    <row r="496" spans="1:21" x14ac:dyDescent="0.25">
      <c r="A496" s="102">
        <f t="shared" si="62"/>
        <v>477</v>
      </c>
      <c r="B496" s="101">
        <f t="shared" si="59"/>
        <v>15</v>
      </c>
      <c r="C496" s="73" t="s">
        <v>81</v>
      </c>
      <c r="D496" s="120" t="s">
        <v>299</v>
      </c>
      <c r="E496" s="123">
        <f t="shared" si="60"/>
        <v>23725234.313397765</v>
      </c>
      <c r="F496" s="107">
        <v>6428049.5552969025</v>
      </c>
      <c r="G496" s="107">
        <v>0</v>
      </c>
      <c r="H496" s="107"/>
      <c r="I496" s="107">
        <v>0</v>
      </c>
      <c r="J496" s="107">
        <v>0</v>
      </c>
      <c r="K496" s="107"/>
      <c r="L496" s="107">
        <v>285589.26987220609</v>
      </c>
      <c r="M496" s="107">
        <v>0</v>
      </c>
      <c r="N496" s="107">
        <v>0</v>
      </c>
      <c r="O496" s="107">
        <v>0</v>
      </c>
      <c r="P496" s="107">
        <v>16503875.473921943</v>
      </c>
      <c r="Q496" s="107">
        <v>0</v>
      </c>
      <c r="R496" s="107"/>
      <c r="S496" s="108"/>
      <c r="T496" s="145">
        <v>507720.0143067122</v>
      </c>
      <c r="U496" s="23">
        <f t="shared" si="61"/>
        <v>3</v>
      </c>
    </row>
    <row r="497" spans="1:21" x14ac:dyDescent="0.25">
      <c r="A497" s="102">
        <f t="shared" si="62"/>
        <v>478</v>
      </c>
      <c r="B497" s="101">
        <f t="shared" si="59"/>
        <v>16</v>
      </c>
      <c r="C497" s="73" t="s">
        <v>81</v>
      </c>
      <c r="D497" s="120" t="s">
        <v>321</v>
      </c>
      <c r="E497" s="123">
        <f t="shared" si="60"/>
        <v>15805176.473731067</v>
      </c>
      <c r="F497" s="107">
        <v>0</v>
      </c>
      <c r="G497" s="107">
        <v>0</v>
      </c>
      <c r="H497" s="107">
        <v>0</v>
      </c>
      <c r="I497" s="107">
        <v>0</v>
      </c>
      <c r="J497" s="107">
        <v>0</v>
      </c>
      <c r="K497" s="107"/>
      <c r="L497" s="107"/>
      <c r="M497" s="107">
        <v>0</v>
      </c>
      <c r="N497" s="107">
        <v>15466945.697193222</v>
      </c>
      <c r="O497" s="107">
        <v>0</v>
      </c>
      <c r="P497" s="107"/>
      <c r="Q497" s="107">
        <v>0</v>
      </c>
      <c r="R497" s="107"/>
      <c r="S497" s="108"/>
      <c r="T497" s="145">
        <v>338230.77653784485</v>
      </c>
      <c r="U497" s="23">
        <f t="shared" si="61"/>
        <v>1</v>
      </c>
    </row>
    <row r="498" spans="1:21" x14ac:dyDescent="0.25">
      <c r="A498" s="102">
        <f t="shared" si="62"/>
        <v>479</v>
      </c>
      <c r="B498" s="101">
        <f t="shared" si="59"/>
        <v>17</v>
      </c>
      <c r="C498" s="73" t="s">
        <v>81</v>
      </c>
      <c r="D498" s="120" t="s">
        <v>322</v>
      </c>
      <c r="E498" s="123">
        <v>3591360</v>
      </c>
      <c r="F498" s="107">
        <v>0</v>
      </c>
      <c r="G498" s="107">
        <v>0</v>
      </c>
      <c r="H498" s="107">
        <v>0</v>
      </c>
      <c r="I498" s="107">
        <v>0</v>
      </c>
      <c r="J498" s="107">
        <v>0</v>
      </c>
      <c r="K498" s="107"/>
      <c r="L498" s="107">
        <v>0</v>
      </c>
      <c r="M498" s="107">
        <v>3373924.70016</v>
      </c>
      <c r="N498" s="107"/>
      <c r="O498" s="107">
        <v>0</v>
      </c>
      <c r="P498" s="107">
        <v>0</v>
      </c>
      <c r="Q498" s="107">
        <v>0</v>
      </c>
      <c r="R498" s="107">
        <v>107740.8</v>
      </c>
      <c r="S498" s="108">
        <v>35913.599999999999</v>
      </c>
      <c r="T498" s="145">
        <v>73780.899839999998</v>
      </c>
      <c r="U498" s="23"/>
    </row>
    <row r="499" spans="1:21" x14ac:dyDescent="0.25">
      <c r="A499" s="102">
        <f t="shared" si="62"/>
        <v>480</v>
      </c>
      <c r="B499" s="101">
        <f t="shared" si="59"/>
        <v>18</v>
      </c>
      <c r="C499" s="73" t="s">
        <v>81</v>
      </c>
      <c r="D499" s="120" t="s">
        <v>323</v>
      </c>
      <c r="E499" s="123">
        <v>3591360</v>
      </c>
      <c r="F499" s="107"/>
      <c r="G499" s="107"/>
      <c r="H499" s="107"/>
      <c r="I499" s="107"/>
      <c r="J499" s="107"/>
      <c r="K499" s="107"/>
      <c r="L499" s="107"/>
      <c r="M499" s="107">
        <v>3373924.70016</v>
      </c>
      <c r="N499" s="107"/>
      <c r="O499" s="107"/>
      <c r="P499" s="107"/>
      <c r="Q499" s="107"/>
      <c r="R499" s="107">
        <v>107740.8</v>
      </c>
      <c r="S499" s="108">
        <v>35913.599999999999</v>
      </c>
      <c r="T499" s="145">
        <v>73780.899839999998</v>
      </c>
      <c r="U499" s="23"/>
    </row>
    <row r="500" spans="1:21" x14ac:dyDescent="0.25">
      <c r="A500" s="102">
        <f t="shared" si="62"/>
        <v>481</v>
      </c>
      <c r="B500" s="101">
        <f t="shared" si="59"/>
        <v>19</v>
      </c>
      <c r="C500" s="73" t="s">
        <v>81</v>
      </c>
      <c r="D500" s="120" t="s">
        <v>324</v>
      </c>
      <c r="E500" s="123">
        <f>SUBTOTAL(9,F500:T500)</f>
        <v>16349155.862697219</v>
      </c>
      <c r="F500" s="107">
        <v>0</v>
      </c>
      <c r="G500" s="107">
        <v>0</v>
      </c>
      <c r="H500" s="107">
        <v>0</v>
      </c>
      <c r="I500" s="107">
        <v>0</v>
      </c>
      <c r="J500" s="107">
        <v>0</v>
      </c>
      <c r="K500" s="107"/>
      <c r="L500" s="107"/>
      <c r="M500" s="107">
        <v>0</v>
      </c>
      <c r="N500" s="107">
        <v>0</v>
      </c>
      <c r="O500" s="107">
        <v>15999283.927235499</v>
      </c>
      <c r="P500" s="107">
        <v>0</v>
      </c>
      <c r="Q500" s="107">
        <v>0</v>
      </c>
      <c r="R500" s="107"/>
      <c r="S500" s="108"/>
      <c r="T500" s="145">
        <v>349871.93546172051</v>
      </c>
      <c r="U500" s="23">
        <f>COUNTIF(F500:Q500,"&gt;0")</f>
        <v>1</v>
      </c>
    </row>
    <row r="501" spans="1:21" x14ac:dyDescent="0.25">
      <c r="A501" s="102">
        <f t="shared" si="62"/>
        <v>482</v>
      </c>
      <c r="B501" s="101">
        <f t="shared" si="59"/>
        <v>20</v>
      </c>
      <c r="C501" s="73" t="s">
        <v>81</v>
      </c>
      <c r="D501" s="120" t="s">
        <v>325</v>
      </c>
      <c r="E501" s="123">
        <v>7182720</v>
      </c>
      <c r="F501" s="107"/>
      <c r="G501" s="107"/>
      <c r="H501" s="107"/>
      <c r="I501" s="107"/>
      <c r="J501" s="107"/>
      <c r="K501" s="107"/>
      <c r="L501" s="107"/>
      <c r="M501" s="107">
        <v>6747849.40032</v>
      </c>
      <c r="N501" s="107"/>
      <c r="O501" s="107"/>
      <c r="P501" s="107"/>
      <c r="Q501" s="107"/>
      <c r="R501" s="107">
        <v>215481.60000000001</v>
      </c>
      <c r="S501" s="108">
        <v>71827.199999999997</v>
      </c>
      <c r="T501" s="145">
        <v>147561.79968</v>
      </c>
      <c r="U501" s="23"/>
    </row>
    <row r="502" spans="1:21" x14ac:dyDescent="0.25">
      <c r="A502" s="102">
        <f t="shared" si="62"/>
        <v>483</v>
      </c>
      <c r="B502" s="101">
        <f t="shared" si="59"/>
        <v>21</v>
      </c>
      <c r="C502" s="73" t="s">
        <v>81</v>
      </c>
      <c r="D502" s="120" t="s">
        <v>326</v>
      </c>
      <c r="E502" s="123">
        <v>3591360</v>
      </c>
      <c r="F502" s="107"/>
      <c r="G502" s="107"/>
      <c r="H502" s="107"/>
      <c r="I502" s="107"/>
      <c r="J502" s="107"/>
      <c r="K502" s="107"/>
      <c r="L502" s="107"/>
      <c r="M502" s="107">
        <v>3373924.70016</v>
      </c>
      <c r="N502" s="107"/>
      <c r="O502" s="107"/>
      <c r="P502" s="107"/>
      <c r="Q502" s="107"/>
      <c r="R502" s="107">
        <v>107740.8</v>
      </c>
      <c r="S502" s="108">
        <v>35913.599999999999</v>
      </c>
      <c r="T502" s="145">
        <v>73780.899839999998</v>
      </c>
      <c r="U502" s="23"/>
    </row>
    <row r="503" spans="1:21" x14ac:dyDescent="0.25">
      <c r="A503" s="102">
        <f t="shared" si="62"/>
        <v>484</v>
      </c>
      <c r="B503" s="101">
        <f t="shared" si="59"/>
        <v>22</v>
      </c>
      <c r="C503" s="73" t="s">
        <v>81</v>
      </c>
      <c r="D503" s="120" t="s">
        <v>327</v>
      </c>
      <c r="E503" s="123">
        <f>SUBTOTAL(9,F503:T503)</f>
        <v>10774080</v>
      </c>
      <c r="F503" s="107"/>
      <c r="G503" s="107"/>
      <c r="H503" s="107"/>
      <c r="I503" s="107"/>
      <c r="J503" s="107"/>
      <c r="K503" s="107"/>
      <c r="L503" s="107"/>
      <c r="M503" s="107">
        <f>3*3591360</f>
        <v>10774080</v>
      </c>
      <c r="N503" s="107"/>
      <c r="O503" s="107"/>
      <c r="P503" s="107"/>
      <c r="Q503" s="107"/>
      <c r="R503" s="107"/>
      <c r="S503" s="108"/>
      <c r="T503" s="145"/>
      <c r="U503" s="23">
        <f>COUNTIF(F503:Q503,"&gt;0")</f>
        <v>1</v>
      </c>
    </row>
    <row r="504" spans="1:21" x14ac:dyDescent="0.25">
      <c r="A504" s="102">
        <f t="shared" si="62"/>
        <v>485</v>
      </c>
      <c r="B504" s="101">
        <f t="shared" si="59"/>
        <v>23</v>
      </c>
      <c r="C504" s="73" t="s">
        <v>81</v>
      </c>
      <c r="D504" s="120" t="s">
        <v>328</v>
      </c>
      <c r="E504" s="123">
        <v>3591360</v>
      </c>
      <c r="F504" s="107"/>
      <c r="G504" s="107"/>
      <c r="H504" s="107"/>
      <c r="I504" s="107"/>
      <c r="J504" s="107"/>
      <c r="K504" s="107"/>
      <c r="L504" s="107"/>
      <c r="M504" s="107">
        <v>3373924.70016</v>
      </c>
      <c r="N504" s="107"/>
      <c r="O504" s="107"/>
      <c r="P504" s="107"/>
      <c r="Q504" s="107"/>
      <c r="R504" s="107">
        <v>107740.8</v>
      </c>
      <c r="S504" s="108">
        <v>35913.599999999999</v>
      </c>
      <c r="T504" s="145">
        <v>73780.899839999998</v>
      </c>
      <c r="U504" s="23"/>
    </row>
    <row r="505" spans="1:21" x14ac:dyDescent="0.25">
      <c r="A505" s="102">
        <f t="shared" si="62"/>
        <v>486</v>
      </c>
      <c r="B505" s="101">
        <f t="shared" si="59"/>
        <v>24</v>
      </c>
      <c r="C505" s="73" t="s">
        <v>81</v>
      </c>
      <c r="D505" s="120" t="s">
        <v>329</v>
      </c>
      <c r="E505" s="123">
        <f t="shared" ref="E505:E533" si="63">SUBTOTAL(9,F505:T505)</f>
        <v>14046284.87863205</v>
      </c>
      <c r="F505" s="107">
        <v>9517364.6367539484</v>
      </c>
      <c r="G505" s="107">
        <v>0</v>
      </c>
      <c r="H505" s="107">
        <v>0</v>
      </c>
      <c r="I505" s="107">
        <v>3840848.923028145</v>
      </c>
      <c r="J505" s="107">
        <v>0</v>
      </c>
      <c r="K505" s="107"/>
      <c r="L505" s="107">
        <v>395954.24325284263</v>
      </c>
      <c r="M505" s="107">
        <v>0</v>
      </c>
      <c r="N505" s="107">
        <v>0</v>
      </c>
      <c r="O505" s="107">
        <v>0</v>
      </c>
      <c r="P505" s="107">
        <v>0</v>
      </c>
      <c r="Q505" s="107">
        <v>0</v>
      </c>
      <c r="R505" s="107"/>
      <c r="S505" s="108"/>
      <c r="T505" s="145">
        <v>292117.07559711509</v>
      </c>
      <c r="U505" s="23">
        <f t="shared" ref="U505:U533" si="64">COUNTIF(F505:Q505,"&gt;0")</f>
        <v>3</v>
      </c>
    </row>
    <row r="506" spans="1:21" x14ac:dyDescent="0.25">
      <c r="A506" s="102">
        <f t="shared" si="62"/>
        <v>487</v>
      </c>
      <c r="B506" s="101">
        <f t="shared" si="59"/>
        <v>25</v>
      </c>
      <c r="C506" s="73" t="s">
        <v>81</v>
      </c>
      <c r="D506" s="120" t="s">
        <v>330</v>
      </c>
      <c r="E506" s="123">
        <f t="shared" si="63"/>
        <v>17594017.8503768</v>
      </c>
      <c r="F506" s="107">
        <v>0</v>
      </c>
      <c r="G506" s="107">
        <v>0</v>
      </c>
      <c r="H506" s="107">
        <v>0</v>
      </c>
      <c r="I506" s="107">
        <v>0</v>
      </c>
      <c r="J506" s="107">
        <v>0</v>
      </c>
      <c r="K506" s="107"/>
      <c r="L506" s="107"/>
      <c r="M506" s="107">
        <v>0</v>
      </c>
      <c r="N506" s="107">
        <v>0</v>
      </c>
      <c r="O506" s="107">
        <v>0</v>
      </c>
      <c r="P506" s="107">
        <v>17217505.868378736</v>
      </c>
      <c r="Q506" s="107">
        <v>0</v>
      </c>
      <c r="R506" s="144"/>
      <c r="S506" s="107"/>
      <c r="T506" s="145">
        <v>376511.98199806357</v>
      </c>
      <c r="U506" s="23">
        <f t="shared" si="64"/>
        <v>1</v>
      </c>
    </row>
    <row r="507" spans="1:21" x14ac:dyDescent="0.25">
      <c r="A507" s="102">
        <f t="shared" si="62"/>
        <v>488</v>
      </c>
      <c r="B507" s="101">
        <f t="shared" si="59"/>
        <v>26</v>
      </c>
      <c r="C507" s="73" t="s">
        <v>81</v>
      </c>
      <c r="D507" s="120" t="s">
        <v>281</v>
      </c>
      <c r="E507" s="123">
        <f t="shared" si="63"/>
        <v>16075963.844649071</v>
      </c>
      <c r="F507" s="107"/>
      <c r="G507" s="107"/>
      <c r="H507" s="107">
        <v>0</v>
      </c>
      <c r="I507" s="107"/>
      <c r="J507" s="107">
        <v>0</v>
      </c>
      <c r="K507" s="107"/>
      <c r="L507" s="107"/>
      <c r="M507" s="107">
        <v>0</v>
      </c>
      <c r="N507" s="107">
        <v>0</v>
      </c>
      <c r="O507" s="107"/>
      <c r="P507" s="107">
        <v>15731938.21837358</v>
      </c>
      <c r="Q507" s="107">
        <v>0</v>
      </c>
      <c r="R507" s="107"/>
      <c r="S507" s="108"/>
      <c r="T507" s="145">
        <v>344025.62627549015</v>
      </c>
      <c r="U507" s="23">
        <f t="shared" si="64"/>
        <v>1</v>
      </c>
    </row>
    <row r="508" spans="1:21" x14ac:dyDescent="0.25">
      <c r="A508" s="102">
        <f t="shared" si="62"/>
        <v>489</v>
      </c>
      <c r="B508" s="101">
        <f t="shared" si="59"/>
        <v>27</v>
      </c>
      <c r="C508" s="73" t="s">
        <v>81</v>
      </c>
      <c r="D508" s="120" t="s">
        <v>331</v>
      </c>
      <c r="E508" s="123">
        <f t="shared" si="63"/>
        <v>4281809.6559070544</v>
      </c>
      <c r="F508" s="107"/>
      <c r="G508" s="107">
        <v>0</v>
      </c>
      <c r="H508" s="107">
        <v>0</v>
      </c>
      <c r="I508" s="107">
        <v>0</v>
      </c>
      <c r="J508" s="107">
        <v>0</v>
      </c>
      <c r="K508" s="107"/>
      <c r="L508" s="107"/>
      <c r="M508" s="107">
        <v>0</v>
      </c>
      <c r="N508" s="107">
        <v>0</v>
      </c>
      <c r="O508" s="107">
        <v>0</v>
      </c>
      <c r="P508" s="107">
        <v>3944120.89</v>
      </c>
      <c r="Q508" s="107">
        <v>0</v>
      </c>
      <c r="R508" s="107"/>
      <c r="S508" s="108"/>
      <c r="T508" s="145">
        <v>337688.76590705459</v>
      </c>
      <c r="U508" s="23">
        <f t="shared" si="64"/>
        <v>1</v>
      </c>
    </row>
    <row r="509" spans="1:21" x14ac:dyDescent="0.25">
      <c r="A509" s="102">
        <f t="shared" si="62"/>
        <v>490</v>
      </c>
      <c r="B509" s="101">
        <f t="shared" si="59"/>
        <v>28</v>
      </c>
      <c r="C509" s="73" t="s">
        <v>81</v>
      </c>
      <c r="D509" s="120" t="s">
        <v>332</v>
      </c>
      <c r="E509" s="123">
        <f t="shared" si="63"/>
        <v>15863907.86463787</v>
      </c>
      <c r="F509" s="107"/>
      <c r="G509" s="107">
        <v>0</v>
      </c>
      <c r="H509" s="107">
        <v>0</v>
      </c>
      <c r="I509" s="107">
        <v>0</v>
      </c>
      <c r="J509" s="107">
        <v>0</v>
      </c>
      <c r="K509" s="107"/>
      <c r="L509" s="107"/>
      <c r="M509" s="107"/>
      <c r="N509" s="107"/>
      <c r="O509" s="107"/>
      <c r="P509" s="107">
        <v>15524420.23633462</v>
      </c>
      <c r="Q509" s="107">
        <v>0</v>
      </c>
      <c r="R509" s="107"/>
      <c r="S509" s="108"/>
      <c r="T509" s="145">
        <v>339487.62830325047</v>
      </c>
      <c r="U509" s="23">
        <f t="shared" si="64"/>
        <v>1</v>
      </c>
    </row>
    <row r="510" spans="1:21" x14ac:dyDescent="0.25">
      <c r="A510" s="102">
        <f t="shared" si="62"/>
        <v>491</v>
      </c>
      <c r="B510" s="101">
        <f t="shared" si="59"/>
        <v>29</v>
      </c>
      <c r="C510" s="73" t="s">
        <v>81</v>
      </c>
      <c r="D510" s="120" t="s">
        <v>370</v>
      </c>
      <c r="E510" s="123">
        <f t="shared" si="63"/>
        <v>10774080</v>
      </c>
      <c r="F510" s="107"/>
      <c r="G510" s="107"/>
      <c r="H510" s="107"/>
      <c r="I510" s="107"/>
      <c r="J510" s="107"/>
      <c r="K510" s="107"/>
      <c r="L510" s="107"/>
      <c r="M510" s="107">
        <f>3*3591360</f>
        <v>10774080</v>
      </c>
      <c r="N510" s="107"/>
      <c r="O510" s="107"/>
      <c r="P510" s="107"/>
      <c r="Q510" s="107"/>
      <c r="R510" s="107"/>
      <c r="S510" s="108"/>
      <c r="T510" s="145"/>
      <c r="U510" s="23">
        <f t="shared" si="64"/>
        <v>1</v>
      </c>
    </row>
    <row r="511" spans="1:21" x14ac:dyDescent="0.25">
      <c r="A511" s="102">
        <f t="shared" si="62"/>
        <v>492</v>
      </c>
      <c r="B511" s="101">
        <f t="shared" si="59"/>
        <v>30</v>
      </c>
      <c r="C511" s="73" t="s">
        <v>81</v>
      </c>
      <c r="D511" s="120" t="s">
        <v>283</v>
      </c>
      <c r="E511" s="123">
        <f t="shared" si="63"/>
        <v>2789837.5587991653</v>
      </c>
      <c r="F511" s="107"/>
      <c r="G511" s="107"/>
      <c r="H511" s="107">
        <v>2695930.7316036122</v>
      </c>
      <c r="I511" s="107">
        <v>0</v>
      </c>
      <c r="J511" s="107"/>
      <c r="K511" s="107"/>
      <c r="L511" s="107"/>
      <c r="M511" s="107"/>
      <c r="N511" s="107"/>
      <c r="O511" s="107">
        <v>0</v>
      </c>
      <c r="P511" s="107">
        <v>0</v>
      </c>
      <c r="Q511" s="107">
        <v>0</v>
      </c>
      <c r="R511" s="107"/>
      <c r="S511" s="108"/>
      <c r="T511" s="145">
        <v>93906.827195552934</v>
      </c>
      <c r="U511" s="23">
        <f t="shared" si="64"/>
        <v>1</v>
      </c>
    </row>
    <row r="512" spans="1:21" x14ac:dyDescent="0.25">
      <c r="A512" s="102">
        <f t="shared" si="62"/>
        <v>493</v>
      </c>
      <c r="B512" s="101">
        <f t="shared" si="59"/>
        <v>31</v>
      </c>
      <c r="C512" s="73" t="s">
        <v>81</v>
      </c>
      <c r="D512" s="120" t="s">
        <v>333</v>
      </c>
      <c r="E512" s="123">
        <f t="shared" si="63"/>
        <v>6261773.3525414057</v>
      </c>
      <c r="F512" s="107">
        <v>5934192.4713683669</v>
      </c>
      <c r="G512" s="107">
        <v>0</v>
      </c>
      <c r="H512" s="107"/>
      <c r="I512" s="107">
        <v>0</v>
      </c>
      <c r="J512" s="107">
        <v>0</v>
      </c>
      <c r="K512" s="107"/>
      <c r="L512" s="107">
        <v>263647.88892809901</v>
      </c>
      <c r="M512" s="107">
        <v>0</v>
      </c>
      <c r="N512" s="107">
        <v>0</v>
      </c>
      <c r="O512" s="107">
        <v>0</v>
      </c>
      <c r="P512" s="107">
        <v>0</v>
      </c>
      <c r="Q512" s="107">
        <v>0</v>
      </c>
      <c r="R512" s="107"/>
      <c r="S512" s="108"/>
      <c r="T512" s="145">
        <v>63932.992244939996</v>
      </c>
      <c r="U512" s="23">
        <f t="shared" si="64"/>
        <v>2</v>
      </c>
    </row>
    <row r="513" spans="1:21" x14ac:dyDescent="0.25">
      <c r="A513" s="102">
        <f t="shared" si="62"/>
        <v>494</v>
      </c>
      <c r="B513" s="101">
        <f t="shared" si="59"/>
        <v>32</v>
      </c>
      <c r="C513" s="73" t="s">
        <v>81</v>
      </c>
      <c r="D513" s="120" t="s">
        <v>334</v>
      </c>
      <c r="E513" s="123">
        <f t="shared" si="63"/>
        <v>24639934.329513032</v>
      </c>
      <c r="F513" s="107">
        <v>23086920.098178856</v>
      </c>
      <c r="G513" s="107">
        <v>0</v>
      </c>
      <c r="H513" s="107"/>
      <c r="I513" s="107">
        <v>0</v>
      </c>
      <c r="J513" s="107">
        <v>0</v>
      </c>
      <c r="K513" s="107"/>
      <c r="L513" s="107">
        <v>1025719.6366825957</v>
      </c>
      <c r="M513" s="107">
        <v>0</v>
      </c>
      <c r="N513" s="107">
        <v>0</v>
      </c>
      <c r="O513" s="107">
        <v>0</v>
      </c>
      <c r="P513" s="107">
        <v>0</v>
      </c>
      <c r="Q513" s="107">
        <v>0</v>
      </c>
      <c r="R513" s="107"/>
      <c r="S513" s="108"/>
      <c r="T513" s="145">
        <v>527294.59465157881</v>
      </c>
      <c r="U513" s="23">
        <f t="shared" si="64"/>
        <v>2</v>
      </c>
    </row>
    <row r="514" spans="1:21" x14ac:dyDescent="0.25">
      <c r="A514" s="102">
        <f t="shared" si="62"/>
        <v>495</v>
      </c>
      <c r="B514" s="101">
        <f t="shared" si="59"/>
        <v>33</v>
      </c>
      <c r="C514" s="73" t="s">
        <v>81</v>
      </c>
      <c r="D514" s="120" t="s">
        <v>335</v>
      </c>
      <c r="E514" s="123">
        <f t="shared" si="63"/>
        <v>13615505.81675427</v>
      </c>
      <c r="F514" s="107">
        <v>6434490.0569673264</v>
      </c>
      <c r="G514" s="107">
        <v>2579400.6477582264</v>
      </c>
      <c r="H514" s="107"/>
      <c r="I514" s="107">
        <v>1228279.0768493079</v>
      </c>
      <c r="J514" s="107">
        <v>0</v>
      </c>
      <c r="K514" s="107"/>
      <c r="L514" s="107">
        <v>263647.88892809901</v>
      </c>
      <c r="M514" s="107">
        <v>0</v>
      </c>
      <c r="N514" s="107">
        <v>2818316.3217727714</v>
      </c>
      <c r="O514" s="107">
        <v>0</v>
      </c>
      <c r="P514" s="107">
        <v>0</v>
      </c>
      <c r="Q514" s="107">
        <v>0</v>
      </c>
      <c r="R514" s="107"/>
      <c r="S514" s="108"/>
      <c r="T514" s="145">
        <v>291371.82447854138</v>
      </c>
      <c r="U514" s="23">
        <f t="shared" si="64"/>
        <v>5</v>
      </c>
    </row>
    <row r="515" spans="1:21" x14ac:dyDescent="0.25">
      <c r="A515" s="102">
        <f t="shared" si="62"/>
        <v>496</v>
      </c>
      <c r="B515" s="101">
        <f t="shared" si="59"/>
        <v>34</v>
      </c>
      <c r="C515" s="73" t="s">
        <v>81</v>
      </c>
      <c r="D515" s="120" t="s">
        <v>336</v>
      </c>
      <c r="E515" s="123">
        <f t="shared" si="63"/>
        <v>30335468.022675067</v>
      </c>
      <c r="F515" s="107">
        <v>0</v>
      </c>
      <c r="G515" s="107">
        <v>0</v>
      </c>
      <c r="H515" s="107">
        <v>0</v>
      </c>
      <c r="I515" s="107">
        <v>0</v>
      </c>
      <c r="J515" s="107">
        <v>0</v>
      </c>
      <c r="K515" s="107"/>
      <c r="L515" s="107"/>
      <c r="M515" s="107">
        <v>0</v>
      </c>
      <c r="N515" s="107">
        <v>0</v>
      </c>
      <c r="O515" s="107">
        <v>7270908.124217337</v>
      </c>
      <c r="P515" s="107">
        <v>22465047.324697815</v>
      </c>
      <c r="Q515" s="107">
        <v>0</v>
      </c>
      <c r="R515" s="107"/>
      <c r="S515" s="108"/>
      <c r="T515" s="145">
        <v>599512.57375991263</v>
      </c>
      <c r="U515" s="23">
        <f t="shared" si="64"/>
        <v>2</v>
      </c>
    </row>
    <row r="516" spans="1:21" x14ac:dyDescent="0.25">
      <c r="A516" s="102">
        <f t="shared" si="62"/>
        <v>497</v>
      </c>
      <c r="B516" s="101">
        <f t="shared" si="59"/>
        <v>35</v>
      </c>
      <c r="C516" s="73" t="s">
        <v>81</v>
      </c>
      <c r="D516" s="120" t="s">
        <v>337</v>
      </c>
      <c r="E516" s="123">
        <f t="shared" si="63"/>
        <v>17956800</v>
      </c>
      <c r="F516" s="107"/>
      <c r="G516" s="107"/>
      <c r="H516" s="107"/>
      <c r="I516" s="107"/>
      <c r="J516" s="107"/>
      <c r="K516" s="107"/>
      <c r="L516" s="107"/>
      <c r="M516" s="107">
        <f>5*3591360</f>
        <v>17956800</v>
      </c>
      <c r="N516" s="107"/>
      <c r="O516" s="107"/>
      <c r="P516" s="107"/>
      <c r="Q516" s="107"/>
      <c r="R516" s="107"/>
      <c r="S516" s="108"/>
      <c r="T516" s="145"/>
      <c r="U516" s="23">
        <f t="shared" si="64"/>
        <v>1</v>
      </c>
    </row>
    <row r="517" spans="1:21" x14ac:dyDescent="0.25">
      <c r="A517" s="102">
        <f t="shared" si="62"/>
        <v>498</v>
      </c>
      <c r="B517" s="101">
        <f t="shared" si="59"/>
        <v>36</v>
      </c>
      <c r="C517" s="73" t="s">
        <v>81</v>
      </c>
      <c r="D517" s="120" t="s">
        <v>338</v>
      </c>
      <c r="E517" s="123">
        <f t="shared" si="63"/>
        <v>17956800</v>
      </c>
      <c r="F517" s="107"/>
      <c r="G517" s="107"/>
      <c r="H517" s="107"/>
      <c r="I517" s="107"/>
      <c r="J517" s="107"/>
      <c r="K517" s="107"/>
      <c r="L517" s="107"/>
      <c r="M517" s="107">
        <f>5*3591360</f>
        <v>17956800</v>
      </c>
      <c r="N517" s="107"/>
      <c r="O517" s="107"/>
      <c r="P517" s="107"/>
      <c r="Q517" s="107"/>
      <c r="R517" s="107"/>
      <c r="S517" s="108"/>
      <c r="T517" s="145"/>
      <c r="U517" s="23">
        <f t="shared" si="64"/>
        <v>1</v>
      </c>
    </row>
    <row r="518" spans="1:21" x14ac:dyDescent="0.25">
      <c r="A518" s="102">
        <f t="shared" si="62"/>
        <v>499</v>
      </c>
      <c r="B518" s="101">
        <f t="shared" si="59"/>
        <v>37</v>
      </c>
      <c r="C518" s="73" t="s">
        <v>81</v>
      </c>
      <c r="D518" s="120" t="s">
        <v>305</v>
      </c>
      <c r="E518" s="123">
        <f t="shared" si="63"/>
        <v>1275449.2849021249</v>
      </c>
      <c r="F518" s="107"/>
      <c r="G518" s="107"/>
      <c r="H518" s="107">
        <v>0</v>
      </c>
      <c r="I518" s="107">
        <v>1248154.6702052194</v>
      </c>
      <c r="J518" s="107">
        <v>0</v>
      </c>
      <c r="K518" s="107"/>
      <c r="L518" s="107">
        <v>0</v>
      </c>
      <c r="M518" s="107">
        <v>0</v>
      </c>
      <c r="N518" s="107">
        <v>0</v>
      </c>
      <c r="O518" s="107">
        <v>0</v>
      </c>
      <c r="P518" s="107">
        <v>0</v>
      </c>
      <c r="Q518" s="107">
        <v>0</v>
      </c>
      <c r="R518" s="107"/>
      <c r="S518" s="108"/>
      <c r="T518" s="145">
        <v>27294.614696905472</v>
      </c>
      <c r="U518" s="23">
        <f t="shared" si="64"/>
        <v>1</v>
      </c>
    </row>
    <row r="519" spans="1:21" x14ac:dyDescent="0.25">
      <c r="A519" s="102">
        <f t="shared" si="62"/>
        <v>500</v>
      </c>
      <c r="B519" s="101">
        <f t="shared" si="59"/>
        <v>38</v>
      </c>
      <c r="C519" s="73" t="s">
        <v>81</v>
      </c>
      <c r="D519" s="120" t="s">
        <v>339</v>
      </c>
      <c r="E519" s="123">
        <f t="shared" si="63"/>
        <v>22487460.02870208</v>
      </c>
      <c r="F519" s="107">
        <v>0</v>
      </c>
      <c r="G519" s="107">
        <v>0</v>
      </c>
      <c r="H519" s="107">
        <v>0</v>
      </c>
      <c r="I519" s="107">
        <v>0</v>
      </c>
      <c r="J519" s="107">
        <v>0</v>
      </c>
      <c r="K519" s="107"/>
      <c r="L519" s="107"/>
      <c r="M519" s="107">
        <v>0</v>
      </c>
      <c r="N519" s="107">
        <v>0</v>
      </c>
      <c r="O519" s="107">
        <v>0</v>
      </c>
      <c r="P519" s="107">
        <v>22006228.384087857</v>
      </c>
      <c r="Q519" s="107">
        <v>0</v>
      </c>
      <c r="R519" s="107"/>
      <c r="S519" s="107"/>
      <c r="T519" s="145">
        <v>481231.6446142245</v>
      </c>
      <c r="U519" s="23">
        <f t="shared" si="64"/>
        <v>1</v>
      </c>
    </row>
    <row r="520" spans="1:21" x14ac:dyDescent="0.25">
      <c r="A520" s="102">
        <f t="shared" si="62"/>
        <v>501</v>
      </c>
      <c r="B520" s="101">
        <f t="shared" si="59"/>
        <v>39</v>
      </c>
      <c r="C520" s="73" t="s">
        <v>81</v>
      </c>
      <c r="D520" s="120" t="s">
        <v>340</v>
      </c>
      <c r="E520" s="123">
        <f t="shared" si="63"/>
        <v>3346381.5039214548</v>
      </c>
      <c r="F520" s="107">
        <v>0</v>
      </c>
      <c r="G520" s="107">
        <v>0</v>
      </c>
      <c r="H520" s="107">
        <v>0</v>
      </c>
      <c r="I520" s="107">
        <v>0</v>
      </c>
      <c r="J520" s="107">
        <v>0</v>
      </c>
      <c r="K520" s="107"/>
      <c r="L520" s="107"/>
      <c r="M520" s="107">
        <v>0</v>
      </c>
      <c r="N520" s="107">
        <v>3174109.11127616</v>
      </c>
      <c r="O520" s="107">
        <v>0</v>
      </c>
      <c r="P520" s="107">
        <v>0</v>
      </c>
      <c r="Q520" s="107">
        <v>0</v>
      </c>
      <c r="R520" s="107">
        <v>69397.240000000005</v>
      </c>
      <c r="S520" s="108">
        <v>33463.815039214562</v>
      </c>
      <c r="T520" s="145">
        <v>69411.337606079964</v>
      </c>
      <c r="U520" s="23">
        <f t="shared" si="64"/>
        <v>1</v>
      </c>
    </row>
    <row r="521" spans="1:21" x14ac:dyDescent="0.25">
      <c r="A521" s="102">
        <f t="shared" si="62"/>
        <v>502</v>
      </c>
      <c r="B521" s="101">
        <f t="shared" si="59"/>
        <v>40</v>
      </c>
      <c r="C521" s="73" t="s">
        <v>81</v>
      </c>
      <c r="D521" s="120" t="s">
        <v>341</v>
      </c>
      <c r="E521" s="123">
        <f t="shared" si="63"/>
        <v>12899085.295824001</v>
      </c>
      <c r="F521" s="107"/>
      <c r="G521" s="107">
        <v>2941319.359660829</v>
      </c>
      <c r="H521" s="107">
        <v>0</v>
      </c>
      <c r="I521" s="107">
        <v>0</v>
      </c>
      <c r="J521" s="107">
        <v>0</v>
      </c>
      <c r="K521" s="107"/>
      <c r="L521" s="107">
        <v>0</v>
      </c>
      <c r="M521" s="107"/>
      <c r="N521" s="107">
        <v>3471145.3937748596</v>
      </c>
      <c r="O521" s="107">
        <v>5111613.6011120202</v>
      </c>
      <c r="P521" s="107">
        <v>0</v>
      </c>
      <c r="Q521" s="107">
        <v>0</v>
      </c>
      <c r="R521" s="107">
        <v>994007.83490775037</v>
      </c>
      <c r="S521" s="108">
        <v>128990.85295824001</v>
      </c>
      <c r="T521" s="145">
        <v>252008.25341030146</v>
      </c>
      <c r="U521" s="23">
        <f t="shared" si="64"/>
        <v>3</v>
      </c>
    </row>
    <row r="522" spans="1:21" x14ac:dyDescent="0.25">
      <c r="A522" s="102">
        <f t="shared" si="62"/>
        <v>503</v>
      </c>
      <c r="B522" s="101">
        <f t="shared" si="59"/>
        <v>41</v>
      </c>
      <c r="C522" s="73" t="s">
        <v>81</v>
      </c>
      <c r="D522" s="120" t="s">
        <v>342</v>
      </c>
      <c r="E522" s="123">
        <f t="shared" si="63"/>
        <v>18513063.03403087</v>
      </c>
      <c r="F522" s="107">
        <v>9672123.3663251549</v>
      </c>
      <c r="G522" s="107">
        <v>4139883.059433911</v>
      </c>
      <c r="H522" s="107">
        <v>0</v>
      </c>
      <c r="I522" s="107">
        <v>3903303.7014767192</v>
      </c>
      <c r="J522" s="107">
        <v>0</v>
      </c>
      <c r="K522" s="107"/>
      <c r="L522" s="107">
        <v>401573.35786682391</v>
      </c>
      <c r="M522" s="107">
        <v>0</v>
      </c>
      <c r="N522" s="107">
        <v>0</v>
      </c>
      <c r="O522" s="107">
        <v>0</v>
      </c>
      <c r="P522" s="107">
        <v>0</v>
      </c>
      <c r="Q522" s="107">
        <v>0</v>
      </c>
      <c r="R522" s="107"/>
      <c r="S522" s="108"/>
      <c r="T522" s="145">
        <v>396179.54892826063</v>
      </c>
      <c r="U522" s="23">
        <f t="shared" si="64"/>
        <v>4</v>
      </c>
    </row>
    <row r="523" spans="1:21" x14ac:dyDescent="0.25">
      <c r="A523" s="102">
        <f t="shared" si="62"/>
        <v>504</v>
      </c>
      <c r="B523" s="101">
        <f t="shared" si="59"/>
        <v>42</v>
      </c>
      <c r="C523" s="73" t="s">
        <v>81</v>
      </c>
      <c r="D523" s="120" t="s">
        <v>343</v>
      </c>
      <c r="E523" s="123">
        <f t="shared" si="63"/>
        <v>3591360</v>
      </c>
      <c r="F523" s="107"/>
      <c r="G523" s="107"/>
      <c r="H523" s="107"/>
      <c r="I523" s="107"/>
      <c r="J523" s="107"/>
      <c r="K523" s="107"/>
      <c r="L523" s="107"/>
      <c r="M523" s="107">
        <v>3388344.6460698778</v>
      </c>
      <c r="N523" s="107"/>
      <c r="O523" s="107"/>
      <c r="P523" s="107"/>
      <c r="Q523" s="107"/>
      <c r="R523" s="107">
        <v>104919.11907839999</v>
      </c>
      <c r="S523" s="108">
        <v>24000</v>
      </c>
      <c r="T523" s="145">
        <v>74096.234851722242</v>
      </c>
      <c r="U523" s="23">
        <f t="shared" si="64"/>
        <v>1</v>
      </c>
    </row>
    <row r="524" spans="1:21" x14ac:dyDescent="0.25">
      <c r="A524" s="102">
        <f t="shared" si="62"/>
        <v>505</v>
      </c>
      <c r="B524" s="101">
        <f t="shared" si="59"/>
        <v>43</v>
      </c>
      <c r="C524" s="73" t="s">
        <v>81</v>
      </c>
      <c r="D524" s="120" t="s">
        <v>225</v>
      </c>
      <c r="E524" s="123">
        <f t="shared" si="63"/>
        <v>14159244.434273491</v>
      </c>
      <c r="F524" s="107">
        <v>0</v>
      </c>
      <c r="G524" s="107">
        <v>0</v>
      </c>
      <c r="H524" s="107">
        <v>0</v>
      </c>
      <c r="I524" s="107">
        <v>0</v>
      </c>
      <c r="J524" s="107">
        <v>0</v>
      </c>
      <c r="K524" s="107"/>
      <c r="L524" s="107"/>
      <c r="M524" s="107">
        <v>0</v>
      </c>
      <c r="N524" s="107">
        <v>0</v>
      </c>
      <c r="O524" s="107">
        <v>0</v>
      </c>
      <c r="P524" s="107">
        <v>13745702.449999999</v>
      </c>
      <c r="Q524" s="107">
        <v>0</v>
      </c>
      <c r="R524" s="107"/>
      <c r="S524" s="107"/>
      <c r="T524" s="145">
        <v>413541.98427349224</v>
      </c>
      <c r="U524" s="23">
        <f t="shared" si="64"/>
        <v>1</v>
      </c>
    </row>
    <row r="525" spans="1:21" x14ac:dyDescent="0.25">
      <c r="A525" s="102">
        <f t="shared" si="62"/>
        <v>506</v>
      </c>
      <c r="B525" s="101">
        <f t="shared" si="59"/>
        <v>44</v>
      </c>
      <c r="C525" s="73" t="s">
        <v>81</v>
      </c>
      <c r="D525" s="120" t="s">
        <v>307</v>
      </c>
      <c r="E525" s="123">
        <f t="shared" si="63"/>
        <v>28151375.461213589</v>
      </c>
      <c r="F525" s="107">
        <v>6133316.7977849664</v>
      </c>
      <c r="G525" s="107">
        <v>2453911.6795918704</v>
      </c>
      <c r="H525" s="107"/>
      <c r="I525" s="107">
        <v>1158241.1970624225</v>
      </c>
      <c r="J525" s="107">
        <v>0</v>
      </c>
      <c r="K525" s="107"/>
      <c r="L525" s="107">
        <v>272494.70482550462</v>
      </c>
      <c r="M525" s="107">
        <v>0</v>
      </c>
      <c r="N525" s="107">
        <v>0</v>
      </c>
      <c r="O525" s="107">
        <v>0</v>
      </c>
      <c r="P525" s="107">
        <v>17569980.090778742</v>
      </c>
      <c r="Q525" s="107">
        <v>0</v>
      </c>
      <c r="R525" s="107"/>
      <c r="S525" s="108"/>
      <c r="T525" s="145">
        <v>563430.99117008632</v>
      </c>
      <c r="U525" s="23">
        <f t="shared" si="64"/>
        <v>5</v>
      </c>
    </row>
    <row r="526" spans="1:21" x14ac:dyDescent="0.25">
      <c r="A526" s="102">
        <f t="shared" si="62"/>
        <v>507</v>
      </c>
      <c r="B526" s="101">
        <f t="shared" si="59"/>
        <v>45</v>
      </c>
      <c r="C526" s="73" t="s">
        <v>81</v>
      </c>
      <c r="D526" s="120" t="s">
        <v>224</v>
      </c>
      <c r="E526" s="123">
        <f t="shared" si="63"/>
        <v>7069135.474907618</v>
      </c>
      <c r="F526" s="107">
        <v>6623579.5797926262</v>
      </c>
      <c r="G526" s="107">
        <v>0</v>
      </c>
      <c r="H526" s="107"/>
      <c r="I526" s="107">
        <v>0</v>
      </c>
      <c r="J526" s="107">
        <v>0</v>
      </c>
      <c r="K526" s="107"/>
      <c r="L526" s="107">
        <v>294276.39595196897</v>
      </c>
      <c r="M526" s="107">
        <v>0</v>
      </c>
      <c r="N526" s="107">
        <v>0</v>
      </c>
      <c r="O526" s="107">
        <v>0</v>
      </c>
      <c r="P526" s="107">
        <v>0</v>
      </c>
      <c r="Q526" s="107">
        <v>0</v>
      </c>
      <c r="R526" s="107"/>
      <c r="S526" s="108"/>
      <c r="T526" s="145">
        <v>151279.49916302305</v>
      </c>
      <c r="U526" s="23">
        <f t="shared" si="64"/>
        <v>2</v>
      </c>
    </row>
    <row r="527" spans="1:21" x14ac:dyDescent="0.25">
      <c r="A527" s="102">
        <f t="shared" si="62"/>
        <v>508</v>
      </c>
      <c r="B527" s="101">
        <f t="shared" si="59"/>
        <v>46</v>
      </c>
      <c r="C527" s="73" t="s">
        <v>81</v>
      </c>
      <c r="D527" s="120" t="s">
        <v>293</v>
      </c>
      <c r="E527" s="123">
        <f t="shared" si="63"/>
        <v>5116420.3570661386</v>
      </c>
      <c r="F527" s="107">
        <v>0</v>
      </c>
      <c r="G527" s="107">
        <v>0</v>
      </c>
      <c r="H527" s="107">
        <v>5006928.9614249235</v>
      </c>
      <c r="I527" s="107">
        <v>0</v>
      </c>
      <c r="J527" s="107">
        <v>0</v>
      </c>
      <c r="K527" s="107"/>
      <c r="L527" s="107"/>
      <c r="M527" s="107">
        <v>0</v>
      </c>
      <c r="N527" s="107">
        <v>0</v>
      </c>
      <c r="O527" s="107">
        <v>0</v>
      </c>
      <c r="P527" s="107"/>
      <c r="Q527" s="107">
        <v>0</v>
      </c>
      <c r="R527" s="107"/>
      <c r="S527" s="108"/>
      <c r="T527" s="145">
        <v>109491.39564121536</v>
      </c>
      <c r="U527" s="23">
        <f t="shared" si="64"/>
        <v>1</v>
      </c>
    </row>
    <row r="528" spans="1:21" x14ac:dyDescent="0.25">
      <c r="A528" s="102">
        <f t="shared" si="62"/>
        <v>509</v>
      </c>
      <c r="B528" s="101">
        <f t="shared" si="59"/>
        <v>47</v>
      </c>
      <c r="C528" s="73" t="s">
        <v>81</v>
      </c>
      <c r="D528" s="120" t="s">
        <v>344</v>
      </c>
      <c r="E528" s="123">
        <f t="shared" si="63"/>
        <v>3591360</v>
      </c>
      <c r="F528" s="107"/>
      <c r="G528" s="107"/>
      <c r="H528" s="107"/>
      <c r="I528" s="107"/>
      <c r="J528" s="107"/>
      <c r="K528" s="107"/>
      <c r="L528" s="107"/>
      <c r="M528" s="107">
        <v>3388344.6460698778</v>
      </c>
      <c r="N528" s="107"/>
      <c r="O528" s="107"/>
      <c r="P528" s="107"/>
      <c r="Q528" s="107"/>
      <c r="R528" s="107">
        <v>104919.11907839999</v>
      </c>
      <c r="S528" s="108">
        <v>24000</v>
      </c>
      <c r="T528" s="145">
        <v>74096.234851722242</v>
      </c>
      <c r="U528" s="23">
        <f t="shared" si="64"/>
        <v>1</v>
      </c>
    </row>
    <row r="529" spans="1:21" x14ac:dyDescent="0.25">
      <c r="A529" s="102">
        <f t="shared" si="62"/>
        <v>510</v>
      </c>
      <c r="B529" s="101">
        <f t="shared" si="59"/>
        <v>48</v>
      </c>
      <c r="C529" s="73" t="s">
        <v>81</v>
      </c>
      <c r="D529" s="120" t="s">
        <v>345</v>
      </c>
      <c r="E529" s="123">
        <f t="shared" si="63"/>
        <v>3723951.8689671173</v>
      </c>
      <c r="F529" s="107">
        <v>0</v>
      </c>
      <c r="G529" s="107">
        <v>0</v>
      </c>
      <c r="H529" s="107">
        <v>3644259.2989712209</v>
      </c>
      <c r="I529" s="107">
        <v>0</v>
      </c>
      <c r="J529" s="107">
        <v>0</v>
      </c>
      <c r="K529" s="107"/>
      <c r="L529" s="107"/>
      <c r="M529" s="107">
        <v>0</v>
      </c>
      <c r="N529" s="107">
        <v>0</v>
      </c>
      <c r="O529" s="107">
        <v>0</v>
      </c>
      <c r="P529" s="107">
        <v>0</v>
      </c>
      <c r="Q529" s="107">
        <v>0</v>
      </c>
      <c r="R529" s="107"/>
      <c r="S529" s="108"/>
      <c r="T529" s="145">
        <v>79692.569995896309</v>
      </c>
      <c r="U529" s="23">
        <f t="shared" si="64"/>
        <v>1</v>
      </c>
    </row>
    <row r="530" spans="1:21" x14ac:dyDescent="0.25">
      <c r="A530" s="102">
        <f t="shared" si="62"/>
        <v>511</v>
      </c>
      <c r="B530" s="101">
        <f t="shared" si="59"/>
        <v>49</v>
      </c>
      <c r="C530" s="73" t="s">
        <v>81</v>
      </c>
      <c r="D530" s="120" t="s">
        <v>346</v>
      </c>
      <c r="E530" s="123">
        <f t="shared" si="63"/>
        <v>5704539.4663399998</v>
      </c>
      <c r="F530" s="107">
        <v>0</v>
      </c>
      <c r="G530" s="107">
        <v>0</v>
      </c>
      <c r="H530" s="107">
        <v>0</v>
      </c>
      <c r="I530" s="107">
        <v>0</v>
      </c>
      <c r="J530" s="107">
        <v>0</v>
      </c>
      <c r="K530" s="107"/>
      <c r="L530" s="107"/>
      <c r="M530" s="107">
        <v>0</v>
      </c>
      <c r="N530" s="107">
        <v>0</v>
      </c>
      <c r="O530" s="107">
        <v>5582462.3217603238</v>
      </c>
      <c r="P530" s="107">
        <v>0</v>
      </c>
      <c r="Q530" s="107">
        <v>0</v>
      </c>
      <c r="R530" s="107"/>
      <c r="S530" s="108"/>
      <c r="T530" s="145">
        <v>122077.14457967599</v>
      </c>
      <c r="U530" s="23">
        <f t="shared" si="64"/>
        <v>1</v>
      </c>
    </row>
    <row r="531" spans="1:21" x14ac:dyDescent="0.25">
      <c r="A531" s="102">
        <f t="shared" si="62"/>
        <v>512</v>
      </c>
      <c r="B531" s="101">
        <f t="shared" si="59"/>
        <v>50</v>
      </c>
      <c r="C531" s="73" t="s">
        <v>81</v>
      </c>
      <c r="D531" s="120" t="s">
        <v>347</v>
      </c>
      <c r="E531" s="123">
        <f t="shared" si="63"/>
        <v>7558612.3204800002</v>
      </c>
      <c r="F531" s="107">
        <v>0</v>
      </c>
      <c r="G531" s="107">
        <v>0</v>
      </c>
      <c r="H531" s="107">
        <v>0</v>
      </c>
      <c r="I531" s="107">
        <v>0</v>
      </c>
      <c r="J531" s="107">
        <v>0</v>
      </c>
      <c r="K531" s="107"/>
      <c r="L531" s="107"/>
      <c r="M531" s="107">
        <v>0</v>
      </c>
      <c r="N531" s="107">
        <v>0</v>
      </c>
      <c r="O531" s="107">
        <v>7396858.0168217281</v>
      </c>
      <c r="P531" s="107">
        <v>0</v>
      </c>
      <c r="Q531" s="107">
        <v>0</v>
      </c>
      <c r="R531" s="107"/>
      <c r="S531" s="108"/>
      <c r="T531" s="145">
        <v>161754.30365827202</v>
      </c>
      <c r="U531" s="23">
        <f t="shared" si="64"/>
        <v>1</v>
      </c>
    </row>
    <row r="532" spans="1:21" x14ac:dyDescent="0.25">
      <c r="A532" s="102">
        <f t="shared" si="62"/>
        <v>513</v>
      </c>
      <c r="B532" s="101">
        <f t="shared" si="59"/>
        <v>51</v>
      </c>
      <c r="C532" s="73" t="s">
        <v>81</v>
      </c>
      <c r="D532" s="120" t="s">
        <v>348</v>
      </c>
      <c r="E532" s="123">
        <f t="shared" si="63"/>
        <v>10973716.392657893</v>
      </c>
      <c r="F532" s="107">
        <v>6700361.0893385699</v>
      </c>
      <c r="G532" s="107">
        <v>3490874.7316903411</v>
      </c>
      <c r="H532" s="107"/>
      <c r="I532" s="107">
        <v>0</v>
      </c>
      <c r="J532" s="107">
        <v>0</v>
      </c>
      <c r="K532" s="107"/>
      <c r="L532" s="107">
        <v>547643.04082610249</v>
      </c>
      <c r="M532" s="107">
        <v>0</v>
      </c>
      <c r="N532" s="107"/>
      <c r="O532" s="107"/>
      <c r="P532" s="107"/>
      <c r="Q532" s="107">
        <v>0</v>
      </c>
      <c r="R532" s="107"/>
      <c r="S532" s="108"/>
      <c r="T532" s="145">
        <v>234837.53080287893</v>
      </c>
      <c r="U532" s="23">
        <f t="shared" si="64"/>
        <v>3</v>
      </c>
    </row>
    <row r="533" spans="1:21" x14ac:dyDescent="0.25">
      <c r="A533" s="102">
        <f t="shared" si="62"/>
        <v>514</v>
      </c>
      <c r="B533" s="101">
        <f t="shared" si="59"/>
        <v>52</v>
      </c>
      <c r="C533" s="73" t="s">
        <v>81</v>
      </c>
      <c r="D533" s="120" t="s">
        <v>349</v>
      </c>
      <c r="E533" s="123">
        <f t="shared" si="63"/>
        <v>11276107.02613402</v>
      </c>
      <c r="F533" s="107">
        <v>6061746.8582748314</v>
      </c>
      <c r="G533" s="107">
        <v>2605155.66</v>
      </c>
      <c r="H533" s="107">
        <v>2187734.91</v>
      </c>
      <c r="I533" s="107">
        <v>0</v>
      </c>
      <c r="J533" s="107">
        <v>0</v>
      </c>
      <c r="K533" s="107"/>
      <c r="L533" s="107">
        <v>251675.45410878723</v>
      </c>
      <c r="M533" s="107">
        <v>0</v>
      </c>
      <c r="N533" s="107">
        <v>0</v>
      </c>
      <c r="O533" s="107">
        <v>0</v>
      </c>
      <c r="P533" s="107">
        <v>0</v>
      </c>
      <c r="Q533" s="107">
        <v>0</v>
      </c>
      <c r="R533" s="107"/>
      <c r="S533" s="108"/>
      <c r="T533" s="145">
        <v>169794.14375039996</v>
      </c>
      <c r="U533" s="23">
        <f t="shared" si="64"/>
        <v>4</v>
      </c>
    </row>
    <row r="534" spans="1:21" x14ac:dyDescent="0.25">
      <c r="A534" s="102">
        <f t="shared" si="62"/>
        <v>515</v>
      </c>
      <c r="B534" s="101">
        <f t="shared" si="59"/>
        <v>53</v>
      </c>
      <c r="C534" s="73" t="s">
        <v>81</v>
      </c>
      <c r="D534" s="120" t="s">
        <v>350</v>
      </c>
      <c r="E534" s="123">
        <v>14365440</v>
      </c>
      <c r="F534" s="107"/>
      <c r="G534" s="107"/>
      <c r="H534" s="107"/>
      <c r="I534" s="107"/>
      <c r="J534" s="107"/>
      <c r="K534" s="107"/>
      <c r="L534" s="107"/>
      <c r="M534" s="107">
        <v>13495698.80064</v>
      </c>
      <c r="N534" s="107"/>
      <c r="O534" s="107"/>
      <c r="P534" s="107"/>
      <c r="Q534" s="107"/>
      <c r="R534" s="107">
        <v>430963.20000000001</v>
      </c>
      <c r="S534" s="108">
        <v>143654.39999999999</v>
      </c>
      <c r="T534" s="145">
        <v>295123.59935999999</v>
      </c>
      <c r="U534" s="23"/>
    </row>
    <row r="535" spans="1:21" x14ac:dyDescent="0.25">
      <c r="A535" s="102">
        <f t="shared" si="62"/>
        <v>516</v>
      </c>
      <c r="B535" s="101">
        <f t="shared" si="59"/>
        <v>54</v>
      </c>
      <c r="C535" s="73" t="s">
        <v>81</v>
      </c>
      <c r="D535" s="120" t="s">
        <v>351</v>
      </c>
      <c r="E535" s="123">
        <f t="shared" ref="E535:E598" si="65">SUBTOTAL(9,F535:T535)</f>
        <v>9583229.2646912001</v>
      </c>
      <c r="F535" s="107">
        <v>0</v>
      </c>
      <c r="G535" s="107">
        <v>0</v>
      </c>
      <c r="H535" s="107">
        <v>0</v>
      </c>
      <c r="I535" s="107">
        <v>0</v>
      </c>
      <c r="J535" s="107">
        <v>0</v>
      </c>
      <c r="K535" s="107"/>
      <c r="L535" s="107"/>
      <c r="M535" s="107">
        <v>0</v>
      </c>
      <c r="N535" s="107">
        <v>0</v>
      </c>
      <c r="O535" s="107">
        <v>0</v>
      </c>
      <c r="P535" s="107">
        <v>9378148.1584268082</v>
      </c>
      <c r="Q535" s="107">
        <v>0</v>
      </c>
      <c r="R535" s="107"/>
      <c r="S535" s="108"/>
      <c r="T535" s="145">
        <v>205081.10626439168</v>
      </c>
      <c r="U535" s="23">
        <f t="shared" ref="U535:U566" si="66">COUNTIF(F535:Q535,"&gt;0")</f>
        <v>1</v>
      </c>
    </row>
    <row r="536" spans="1:21" x14ac:dyDescent="0.25">
      <c r="A536" s="102">
        <f t="shared" si="62"/>
        <v>517</v>
      </c>
      <c r="B536" s="101">
        <f t="shared" si="59"/>
        <v>55</v>
      </c>
      <c r="C536" s="73" t="s">
        <v>81</v>
      </c>
      <c r="D536" s="120" t="s">
        <v>352</v>
      </c>
      <c r="E536" s="123">
        <f t="shared" si="65"/>
        <v>13972173.255062804</v>
      </c>
      <c r="F536" s="107">
        <v>0</v>
      </c>
      <c r="G536" s="107">
        <v>0</v>
      </c>
      <c r="H536" s="107">
        <v>0</v>
      </c>
      <c r="I536" s="107">
        <v>0</v>
      </c>
      <c r="J536" s="107">
        <v>0</v>
      </c>
      <c r="K536" s="107"/>
      <c r="L536" s="107"/>
      <c r="M536" s="107">
        <v>0</v>
      </c>
      <c r="N536" s="107">
        <v>13673168.74740446</v>
      </c>
      <c r="O536" s="107">
        <v>0</v>
      </c>
      <c r="P536" s="107">
        <v>0</v>
      </c>
      <c r="Q536" s="107">
        <v>0</v>
      </c>
      <c r="R536" s="107"/>
      <c r="S536" s="108"/>
      <c r="T536" s="145">
        <v>299004.50765834399</v>
      </c>
      <c r="U536" s="23">
        <f t="shared" si="66"/>
        <v>1</v>
      </c>
    </row>
    <row r="537" spans="1:21" x14ac:dyDescent="0.25">
      <c r="A537" s="102">
        <f t="shared" si="62"/>
        <v>518</v>
      </c>
      <c r="B537" s="101">
        <f t="shared" si="59"/>
        <v>56</v>
      </c>
      <c r="C537" s="73" t="s">
        <v>81</v>
      </c>
      <c r="D537" s="120" t="s">
        <v>198</v>
      </c>
      <c r="E537" s="123">
        <f t="shared" si="65"/>
        <v>30321154.784761567</v>
      </c>
      <c r="F537" s="107">
        <v>0</v>
      </c>
      <c r="G537" s="107">
        <v>0</v>
      </c>
      <c r="H537" s="107">
        <v>0</v>
      </c>
      <c r="I537" s="107">
        <v>0</v>
      </c>
      <c r="J537" s="107">
        <v>0</v>
      </c>
      <c r="K537" s="107"/>
      <c r="L537" s="107"/>
      <c r="M537" s="107">
        <v>0</v>
      </c>
      <c r="N537" s="107">
        <v>0</v>
      </c>
      <c r="O537" s="107">
        <v>0</v>
      </c>
      <c r="P537" s="107">
        <v>29741216.056796018</v>
      </c>
      <c r="Q537" s="107">
        <v>0</v>
      </c>
      <c r="R537" s="107"/>
      <c r="S537" s="107"/>
      <c r="T537" s="145">
        <v>579938.72796554875</v>
      </c>
      <c r="U537" s="23">
        <f t="shared" si="66"/>
        <v>1</v>
      </c>
    </row>
    <row r="538" spans="1:21" x14ac:dyDescent="0.25">
      <c r="A538" s="102">
        <f t="shared" si="62"/>
        <v>519</v>
      </c>
      <c r="B538" s="101">
        <f t="shared" si="59"/>
        <v>57</v>
      </c>
      <c r="C538" s="73" t="s">
        <v>81</v>
      </c>
      <c r="D538" s="120" t="s">
        <v>353</v>
      </c>
      <c r="E538" s="123">
        <f t="shared" si="65"/>
        <v>18644724.211052157</v>
      </c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>
        <v>18162045.243728455</v>
      </c>
      <c r="Q538" s="107">
        <v>0</v>
      </c>
      <c r="R538" s="107">
        <v>103571.55</v>
      </c>
      <c r="S538" s="107">
        <v>24000</v>
      </c>
      <c r="T538" s="145">
        <v>355107.4173236994</v>
      </c>
      <c r="U538" s="23">
        <f t="shared" si="66"/>
        <v>1</v>
      </c>
    </row>
    <row r="539" spans="1:21" x14ac:dyDescent="0.25">
      <c r="A539" s="102">
        <f t="shared" si="62"/>
        <v>520</v>
      </c>
      <c r="B539" s="101">
        <f t="shared" si="59"/>
        <v>58</v>
      </c>
      <c r="C539" s="73" t="s">
        <v>81</v>
      </c>
      <c r="D539" s="120" t="s">
        <v>354</v>
      </c>
      <c r="E539" s="123">
        <f t="shared" si="65"/>
        <v>14341071.920497594</v>
      </c>
      <c r="F539" s="107">
        <v>13437177.92113563</v>
      </c>
      <c r="G539" s="107">
        <v>0</v>
      </c>
      <c r="H539" s="107"/>
      <c r="I539" s="107">
        <v>0</v>
      </c>
      <c r="J539" s="107">
        <v>0</v>
      </c>
      <c r="K539" s="107"/>
      <c r="L539" s="107">
        <v>596995.06026331545</v>
      </c>
      <c r="M539" s="107">
        <v>0</v>
      </c>
      <c r="N539" s="107">
        <v>0</v>
      </c>
      <c r="O539" s="107">
        <v>0</v>
      </c>
      <c r="P539" s="107">
        <v>0</v>
      </c>
      <c r="Q539" s="107">
        <v>0</v>
      </c>
      <c r="R539" s="107"/>
      <c r="S539" s="108"/>
      <c r="T539" s="145">
        <v>306898.93909864855</v>
      </c>
      <c r="U539" s="23">
        <f t="shared" si="66"/>
        <v>2</v>
      </c>
    </row>
    <row r="540" spans="1:21" x14ac:dyDescent="0.25">
      <c r="A540" s="102">
        <f t="shared" si="62"/>
        <v>521</v>
      </c>
      <c r="B540" s="101">
        <f t="shared" si="59"/>
        <v>59</v>
      </c>
      <c r="C540" s="73" t="s">
        <v>81</v>
      </c>
      <c r="D540" s="120" t="s">
        <v>355</v>
      </c>
      <c r="E540" s="123">
        <f t="shared" si="65"/>
        <v>18619115.200956475</v>
      </c>
      <c r="F540" s="107">
        <v>0</v>
      </c>
      <c r="G540" s="107">
        <v>0</v>
      </c>
      <c r="H540" s="107">
        <v>0</v>
      </c>
      <c r="I540" s="107">
        <v>0</v>
      </c>
      <c r="J540" s="107">
        <v>0</v>
      </c>
      <c r="K540" s="107"/>
      <c r="L540" s="107"/>
      <c r="M540" s="107">
        <v>0</v>
      </c>
      <c r="N540" s="107">
        <v>0</v>
      </c>
      <c r="O540" s="107">
        <v>0</v>
      </c>
      <c r="P540" s="107">
        <v>17777901.600000001</v>
      </c>
      <c r="Q540" s="107">
        <v>0</v>
      </c>
      <c r="R540" s="107"/>
      <c r="S540" s="107"/>
      <c r="T540" s="145">
        <v>841213.6009564735</v>
      </c>
      <c r="U540" s="23">
        <f t="shared" si="66"/>
        <v>1</v>
      </c>
    </row>
    <row r="541" spans="1:21" x14ac:dyDescent="0.25">
      <c r="A541" s="102">
        <f t="shared" si="62"/>
        <v>522</v>
      </c>
      <c r="B541" s="101">
        <f t="shared" si="59"/>
        <v>60</v>
      </c>
      <c r="C541" s="73" t="s">
        <v>81</v>
      </c>
      <c r="D541" s="120" t="s">
        <v>200</v>
      </c>
      <c r="E541" s="123">
        <f t="shared" si="65"/>
        <v>19924826.192769852</v>
      </c>
      <c r="F541" s="107">
        <v>0</v>
      </c>
      <c r="G541" s="107">
        <v>0</v>
      </c>
      <c r="H541" s="107">
        <v>0</v>
      </c>
      <c r="I541" s="107">
        <v>0</v>
      </c>
      <c r="J541" s="107">
        <v>0</v>
      </c>
      <c r="K541" s="107"/>
      <c r="L541" s="107"/>
      <c r="M541" s="107">
        <v>0</v>
      </c>
      <c r="N541" s="107">
        <v>8908740.4806679767</v>
      </c>
      <c r="O541" s="107">
        <v>0</v>
      </c>
      <c r="P541" s="107">
        <v>10587854.889606776</v>
      </c>
      <c r="Q541" s="107">
        <v>0</v>
      </c>
      <c r="R541" s="107"/>
      <c r="S541" s="108"/>
      <c r="T541" s="145">
        <v>428230.82249509753</v>
      </c>
      <c r="U541" s="23">
        <f t="shared" si="66"/>
        <v>2</v>
      </c>
    </row>
    <row r="542" spans="1:21" x14ac:dyDescent="0.25">
      <c r="A542" s="102">
        <f t="shared" si="62"/>
        <v>523</v>
      </c>
      <c r="B542" s="101">
        <f t="shared" si="59"/>
        <v>61</v>
      </c>
      <c r="C542" s="73" t="s">
        <v>81</v>
      </c>
      <c r="D542" s="120" t="s">
        <v>356</v>
      </c>
      <c r="E542" s="123">
        <f t="shared" si="65"/>
        <v>38805930.89214953</v>
      </c>
      <c r="F542" s="107">
        <v>14828309.171002751</v>
      </c>
      <c r="G542" s="107">
        <v>0</v>
      </c>
      <c r="H542" s="107">
        <v>0</v>
      </c>
      <c r="I542" s="107">
        <v>3058885.1962940232</v>
      </c>
      <c r="J542" s="107">
        <v>0</v>
      </c>
      <c r="K542" s="107"/>
      <c r="L542" s="107">
        <v>438327.14811973274</v>
      </c>
      <c r="M542" s="107"/>
      <c r="N542" s="107">
        <v>19605564.18093317</v>
      </c>
      <c r="O542" s="107">
        <v>0</v>
      </c>
      <c r="P542" s="107">
        <v>0</v>
      </c>
      <c r="Q542" s="107">
        <v>0</v>
      </c>
      <c r="R542" s="107"/>
      <c r="S542" s="108"/>
      <c r="T542" s="145">
        <v>874845.19579984993</v>
      </c>
      <c r="U542" s="23">
        <f t="shared" si="66"/>
        <v>4</v>
      </c>
    </row>
    <row r="543" spans="1:21" x14ac:dyDescent="0.25">
      <c r="A543" s="102">
        <f t="shared" si="62"/>
        <v>524</v>
      </c>
      <c r="B543" s="101">
        <f t="shared" si="59"/>
        <v>62</v>
      </c>
      <c r="C543" s="73" t="s">
        <v>81</v>
      </c>
      <c r="D543" s="120" t="s">
        <v>357</v>
      </c>
      <c r="E543" s="123">
        <f t="shared" si="65"/>
        <v>8370298.1810806282</v>
      </c>
      <c r="F543" s="107">
        <v>0</v>
      </c>
      <c r="G543" s="107">
        <v>0</v>
      </c>
      <c r="H543" s="107">
        <v>0</v>
      </c>
      <c r="I543" s="107">
        <v>0</v>
      </c>
      <c r="J543" s="107">
        <v>0</v>
      </c>
      <c r="K543" s="107"/>
      <c r="L543" s="107"/>
      <c r="M543" s="107">
        <v>0</v>
      </c>
      <c r="N543" s="107">
        <v>8193337.4100000001</v>
      </c>
      <c r="O543" s="107">
        <v>0</v>
      </c>
      <c r="P543" s="107">
        <v>0</v>
      </c>
      <c r="Q543" s="107">
        <v>0</v>
      </c>
      <c r="R543" s="107"/>
      <c r="S543" s="108"/>
      <c r="T543" s="145">
        <v>176960.77108062804</v>
      </c>
      <c r="U543" s="23">
        <f t="shared" si="66"/>
        <v>1</v>
      </c>
    </row>
    <row r="544" spans="1:21" x14ac:dyDescent="0.25">
      <c r="A544" s="102">
        <f t="shared" si="62"/>
        <v>525</v>
      </c>
      <c r="B544" s="101">
        <f t="shared" si="59"/>
        <v>63</v>
      </c>
      <c r="C544" s="73" t="s">
        <v>81</v>
      </c>
      <c r="D544" s="120" t="s">
        <v>199</v>
      </c>
      <c r="E544" s="123">
        <f t="shared" si="65"/>
        <v>7124914.2461542394</v>
      </c>
      <c r="F544" s="107">
        <v>2105749.0699999998</v>
      </c>
      <c r="G544" s="107"/>
      <c r="H544" s="107"/>
      <c r="I544" s="107">
        <v>888374.4</v>
      </c>
      <c r="J544" s="107">
        <v>0</v>
      </c>
      <c r="K544" s="107"/>
      <c r="L544" s="107">
        <v>327305.36184192001</v>
      </c>
      <c r="M544" s="107">
        <v>0</v>
      </c>
      <c r="N544" s="107">
        <v>0</v>
      </c>
      <c r="O544" s="107">
        <v>3619789.6171852797</v>
      </c>
      <c r="P544" s="107">
        <v>0</v>
      </c>
      <c r="Q544" s="107">
        <v>0</v>
      </c>
      <c r="R544" s="107"/>
      <c r="S544" s="108"/>
      <c r="T544" s="145">
        <v>183695.79712703999</v>
      </c>
      <c r="U544" s="23">
        <f t="shared" si="66"/>
        <v>4</v>
      </c>
    </row>
    <row r="545" spans="1:22" x14ac:dyDescent="0.25">
      <c r="A545" s="102">
        <f t="shared" si="62"/>
        <v>526</v>
      </c>
      <c r="B545" s="101">
        <f t="shared" si="59"/>
        <v>64</v>
      </c>
      <c r="C545" s="73" t="s">
        <v>81</v>
      </c>
      <c r="D545" s="120" t="s">
        <v>358</v>
      </c>
      <c r="E545" s="123">
        <f t="shared" si="65"/>
        <v>3323108.484322099</v>
      </c>
      <c r="F545" s="107"/>
      <c r="G545" s="107">
        <v>0</v>
      </c>
      <c r="H545" s="107">
        <v>3251993.9627576061</v>
      </c>
      <c r="I545" s="107">
        <v>0</v>
      </c>
      <c r="J545" s="107">
        <v>0</v>
      </c>
      <c r="K545" s="107"/>
      <c r="L545" s="107">
        <v>0</v>
      </c>
      <c r="M545" s="107">
        <v>0</v>
      </c>
      <c r="N545" s="107">
        <v>0</v>
      </c>
      <c r="O545" s="107">
        <v>0</v>
      </c>
      <c r="P545" s="107">
        <v>0</v>
      </c>
      <c r="Q545" s="107">
        <v>0</v>
      </c>
      <c r="R545" s="107"/>
      <c r="S545" s="108"/>
      <c r="T545" s="145">
        <v>71114.521564492912</v>
      </c>
      <c r="U545" s="23">
        <f t="shared" si="66"/>
        <v>1</v>
      </c>
    </row>
    <row r="546" spans="1:22" x14ac:dyDescent="0.25">
      <c r="A546" s="102">
        <f t="shared" si="62"/>
        <v>527</v>
      </c>
      <c r="B546" s="101">
        <f t="shared" ref="B546:B609" si="67">+B545+1</f>
        <v>65</v>
      </c>
      <c r="C546" s="73" t="s">
        <v>81</v>
      </c>
      <c r="D546" s="120" t="s">
        <v>359</v>
      </c>
      <c r="E546" s="123">
        <f t="shared" si="65"/>
        <v>25777524.930161469</v>
      </c>
      <c r="F546" s="107">
        <v>0</v>
      </c>
      <c r="G546" s="107">
        <v>0</v>
      </c>
      <c r="H546" s="107">
        <v>0</v>
      </c>
      <c r="I546" s="107">
        <v>0</v>
      </c>
      <c r="J546" s="107">
        <v>0</v>
      </c>
      <c r="K546" s="107"/>
      <c r="L546" s="107"/>
      <c r="M546" s="107">
        <v>0</v>
      </c>
      <c r="N546" s="107">
        <v>0</v>
      </c>
      <c r="O546" s="107">
        <v>0</v>
      </c>
      <c r="P546" s="107">
        <v>25225885.896656014</v>
      </c>
      <c r="Q546" s="107">
        <v>0</v>
      </c>
      <c r="R546" s="107"/>
      <c r="S546" s="108"/>
      <c r="T546" s="145">
        <v>551639.03350545547</v>
      </c>
      <c r="U546" s="23">
        <f t="shared" si="66"/>
        <v>1</v>
      </c>
    </row>
    <row r="547" spans="1:22" x14ac:dyDescent="0.25">
      <c r="A547" s="102">
        <f t="shared" ref="A547:A610" si="68">+A546+1</f>
        <v>528</v>
      </c>
      <c r="B547" s="101">
        <f t="shared" si="67"/>
        <v>66</v>
      </c>
      <c r="C547" s="73" t="s">
        <v>81</v>
      </c>
      <c r="D547" s="120" t="s">
        <v>202</v>
      </c>
      <c r="E547" s="123">
        <f t="shared" si="65"/>
        <v>13959928.783242105</v>
      </c>
      <c r="F547" s="107"/>
      <c r="G547" s="107"/>
      <c r="H547" s="107"/>
      <c r="I547" s="107"/>
      <c r="J547" s="107"/>
      <c r="K547" s="107"/>
      <c r="L547" s="107"/>
      <c r="M547" s="107">
        <v>0</v>
      </c>
      <c r="N547" s="107">
        <v>0</v>
      </c>
      <c r="O547" s="107">
        <v>0</v>
      </c>
      <c r="P547" s="107">
        <v>13665253.188203763</v>
      </c>
      <c r="Q547" s="107">
        <v>0</v>
      </c>
      <c r="R547" s="107"/>
      <c r="S547" s="108"/>
      <c r="T547" s="145">
        <v>294675.59503834188</v>
      </c>
      <c r="U547" s="23">
        <f t="shared" si="66"/>
        <v>1</v>
      </c>
    </row>
    <row r="548" spans="1:22" x14ac:dyDescent="0.25">
      <c r="A548" s="102">
        <f t="shared" si="68"/>
        <v>529</v>
      </c>
      <c r="B548" s="101">
        <f t="shared" si="67"/>
        <v>67</v>
      </c>
      <c r="C548" s="73" t="s">
        <v>81</v>
      </c>
      <c r="D548" s="120" t="s">
        <v>360</v>
      </c>
      <c r="E548" s="123">
        <f t="shared" si="65"/>
        <v>7536651.091054799</v>
      </c>
      <c r="F548" s="107">
        <v>0</v>
      </c>
      <c r="G548" s="107">
        <v>0</v>
      </c>
      <c r="H548" s="107">
        <v>0</v>
      </c>
      <c r="I548" s="107">
        <v>0</v>
      </c>
      <c r="J548" s="107">
        <v>0</v>
      </c>
      <c r="K548" s="107"/>
      <c r="L548" s="107"/>
      <c r="M548" s="107">
        <v>0</v>
      </c>
      <c r="N548" s="107">
        <v>0</v>
      </c>
      <c r="O548" s="107">
        <v>7375366.7577062268</v>
      </c>
      <c r="P548" s="107">
        <v>0</v>
      </c>
      <c r="Q548" s="107">
        <v>0</v>
      </c>
      <c r="R548" s="107"/>
      <c r="S548" s="108"/>
      <c r="T548" s="145">
        <v>161284.33334857272</v>
      </c>
      <c r="U548" s="23">
        <f t="shared" si="66"/>
        <v>1</v>
      </c>
    </row>
    <row r="549" spans="1:22" x14ac:dyDescent="0.25">
      <c r="A549" s="102">
        <f t="shared" si="68"/>
        <v>530</v>
      </c>
      <c r="B549" s="101">
        <f t="shared" si="67"/>
        <v>68</v>
      </c>
      <c r="C549" s="73" t="s">
        <v>81</v>
      </c>
      <c r="D549" s="120" t="s">
        <v>361</v>
      </c>
      <c r="E549" s="123">
        <f t="shared" si="65"/>
        <v>46708832.637054741</v>
      </c>
      <c r="F549" s="107">
        <v>11858561.038653761</v>
      </c>
      <c r="G549" s="107">
        <v>0</v>
      </c>
      <c r="H549" s="107">
        <v>0</v>
      </c>
      <c r="I549" s="107">
        <v>4785667.3703647591</v>
      </c>
      <c r="J549" s="107">
        <v>0</v>
      </c>
      <c r="K549" s="107"/>
      <c r="L549" s="107">
        <v>492326.58379190101</v>
      </c>
      <c r="M549" s="107">
        <v>0</v>
      </c>
      <c r="N549" s="107">
        <v>19618197.919447646</v>
      </c>
      <c r="O549" s="107">
        <v>8965046.4952568505</v>
      </c>
      <c r="P549" s="107">
        <v>0</v>
      </c>
      <c r="Q549" s="107">
        <v>0</v>
      </c>
      <c r="R549" s="107"/>
      <c r="S549" s="108"/>
      <c r="T549" s="145">
        <v>989033.22953982488</v>
      </c>
      <c r="U549" s="23">
        <f t="shared" si="66"/>
        <v>5</v>
      </c>
    </row>
    <row r="550" spans="1:22" x14ac:dyDescent="0.25">
      <c r="A550" s="102">
        <f t="shared" si="68"/>
        <v>531</v>
      </c>
      <c r="B550" s="101">
        <f t="shared" si="67"/>
        <v>69</v>
      </c>
      <c r="C550" s="73" t="s">
        <v>81</v>
      </c>
      <c r="D550" s="120" t="s">
        <v>362</v>
      </c>
      <c r="E550" s="123">
        <f t="shared" si="65"/>
        <v>3627706.1305964547</v>
      </c>
      <c r="F550" s="107">
        <v>0</v>
      </c>
      <c r="G550" s="107">
        <v>0</v>
      </c>
      <c r="H550" s="107">
        <v>3550073.2194016906</v>
      </c>
      <c r="I550" s="107">
        <v>0</v>
      </c>
      <c r="J550" s="107">
        <v>0</v>
      </c>
      <c r="K550" s="107"/>
      <c r="L550" s="107"/>
      <c r="M550" s="107">
        <v>0</v>
      </c>
      <c r="N550" s="107">
        <v>0</v>
      </c>
      <c r="O550" s="107">
        <v>0</v>
      </c>
      <c r="P550" s="107"/>
      <c r="Q550" s="107">
        <v>0</v>
      </c>
      <c r="R550" s="107"/>
      <c r="S550" s="108"/>
      <c r="T550" s="145">
        <v>77632.911194764136</v>
      </c>
      <c r="U550" s="23">
        <f t="shared" si="66"/>
        <v>1</v>
      </c>
    </row>
    <row r="551" spans="1:22" x14ac:dyDescent="0.25">
      <c r="A551" s="102">
        <f t="shared" si="68"/>
        <v>532</v>
      </c>
      <c r="B551" s="101">
        <f t="shared" si="67"/>
        <v>70</v>
      </c>
      <c r="C551" s="73" t="s">
        <v>81</v>
      </c>
      <c r="D551" s="120" t="s">
        <v>228</v>
      </c>
      <c r="E551" s="123">
        <f t="shared" si="65"/>
        <v>39683829.239116438</v>
      </c>
      <c r="F551" s="107">
        <v>0</v>
      </c>
      <c r="G551" s="107">
        <v>0</v>
      </c>
      <c r="H551" s="107">
        <v>0</v>
      </c>
      <c r="I551" s="107">
        <v>0</v>
      </c>
      <c r="J551" s="107">
        <v>0</v>
      </c>
      <c r="K551" s="107"/>
      <c r="L551" s="107"/>
      <c r="M551" s="107">
        <v>0</v>
      </c>
      <c r="N551" s="107">
        <v>0</v>
      </c>
      <c r="O551" s="107">
        <v>0</v>
      </c>
      <c r="P551" s="107">
        <v>38834595.293399349</v>
      </c>
      <c r="Q551" s="107">
        <v>0</v>
      </c>
      <c r="R551" s="107"/>
      <c r="S551" s="107"/>
      <c r="T551" s="145">
        <v>849233.9457170919</v>
      </c>
      <c r="U551" s="23">
        <f t="shared" si="66"/>
        <v>1</v>
      </c>
    </row>
    <row r="552" spans="1:22" x14ac:dyDescent="0.25">
      <c r="A552" s="102">
        <f t="shared" si="68"/>
        <v>533</v>
      </c>
      <c r="B552" s="101">
        <f t="shared" si="67"/>
        <v>71</v>
      </c>
      <c r="C552" s="73" t="s">
        <v>81</v>
      </c>
      <c r="D552" s="120" t="s">
        <v>204</v>
      </c>
      <c r="E552" s="123">
        <f t="shared" si="65"/>
        <v>28688048.331907835</v>
      </c>
      <c r="F552" s="107">
        <v>0</v>
      </c>
      <c r="G552" s="107">
        <v>0</v>
      </c>
      <c r="H552" s="107">
        <v>0</v>
      </c>
      <c r="I552" s="107">
        <v>0</v>
      </c>
      <c r="J552" s="107">
        <v>0</v>
      </c>
      <c r="K552" s="107"/>
      <c r="L552" s="107"/>
      <c r="M552" s="107">
        <v>0</v>
      </c>
      <c r="N552" s="107">
        <v>0</v>
      </c>
      <c r="O552" s="107">
        <v>0</v>
      </c>
      <c r="P552" s="107">
        <v>28074124.097605009</v>
      </c>
      <c r="Q552" s="107">
        <v>0</v>
      </c>
      <c r="R552" s="107"/>
      <c r="S552" s="107"/>
      <c r="T552" s="145">
        <v>613924.23430282774</v>
      </c>
      <c r="U552" s="23">
        <f t="shared" si="66"/>
        <v>1</v>
      </c>
    </row>
    <row r="553" spans="1:22" x14ac:dyDescent="0.25">
      <c r="A553" s="102">
        <f t="shared" si="68"/>
        <v>534</v>
      </c>
      <c r="B553" s="101">
        <f t="shared" si="67"/>
        <v>72</v>
      </c>
      <c r="C553" s="73" t="s">
        <v>81</v>
      </c>
      <c r="D553" s="120" t="s">
        <v>363</v>
      </c>
      <c r="E553" s="123">
        <f t="shared" si="65"/>
        <v>19753554.682315666</v>
      </c>
      <c r="F553" s="107">
        <v>0</v>
      </c>
      <c r="G553" s="107">
        <v>0</v>
      </c>
      <c r="H553" s="107">
        <v>0</v>
      </c>
      <c r="I553" s="107">
        <v>0</v>
      </c>
      <c r="J553" s="107">
        <v>0</v>
      </c>
      <c r="K553" s="107"/>
      <c r="L553" s="107"/>
      <c r="M553" s="107">
        <v>0</v>
      </c>
      <c r="N553" s="107">
        <v>0</v>
      </c>
      <c r="O553" s="107">
        <v>0</v>
      </c>
      <c r="P553" s="107">
        <v>18930963.042262111</v>
      </c>
      <c r="Q553" s="107">
        <v>0</v>
      </c>
      <c r="R553" s="107">
        <v>408609.82</v>
      </c>
      <c r="S553" s="107"/>
      <c r="T553" s="145">
        <v>413981.8200535553</v>
      </c>
      <c r="U553" s="23">
        <f t="shared" si="66"/>
        <v>1</v>
      </c>
    </row>
    <row r="554" spans="1:22" x14ac:dyDescent="0.25">
      <c r="A554" s="102">
        <f t="shared" si="68"/>
        <v>535</v>
      </c>
      <c r="B554" s="101">
        <f t="shared" si="67"/>
        <v>73</v>
      </c>
      <c r="C554" s="73" t="s">
        <v>81</v>
      </c>
      <c r="D554" s="120" t="s">
        <v>364</v>
      </c>
      <c r="E554" s="123">
        <f t="shared" si="65"/>
        <v>15386256.559124511</v>
      </c>
      <c r="F554" s="107">
        <v>8244815.9026870374</v>
      </c>
      <c r="G554" s="107">
        <v>0</v>
      </c>
      <c r="H554" s="107">
        <v>3150236.6549268602</v>
      </c>
      <c r="I554" s="107">
        <v>3327296.3145816172</v>
      </c>
      <c r="J554" s="107">
        <v>0</v>
      </c>
      <c r="K554" s="107"/>
      <c r="L554" s="107">
        <v>341959.73489038402</v>
      </c>
      <c r="M554" s="107">
        <v>0</v>
      </c>
      <c r="N554" s="107">
        <v>0</v>
      </c>
      <c r="O554" s="107">
        <v>0</v>
      </c>
      <c r="P554" s="107">
        <v>0</v>
      </c>
      <c r="Q554" s="107">
        <v>0</v>
      </c>
      <c r="R554" s="107"/>
      <c r="S554" s="108"/>
      <c r="T554" s="145">
        <v>321947.95203861035</v>
      </c>
      <c r="U554" s="23">
        <f t="shared" si="66"/>
        <v>4</v>
      </c>
    </row>
    <row r="555" spans="1:22" x14ac:dyDescent="0.25">
      <c r="A555" s="102">
        <f t="shared" si="68"/>
        <v>536</v>
      </c>
      <c r="B555" s="101">
        <f t="shared" si="67"/>
        <v>74</v>
      </c>
      <c r="C555" s="73" t="s">
        <v>81</v>
      </c>
      <c r="D555" s="120" t="s">
        <v>365</v>
      </c>
      <c r="E555" s="123">
        <f t="shared" si="65"/>
        <v>9909590.6884000003</v>
      </c>
      <c r="F555" s="107">
        <v>0</v>
      </c>
      <c r="G555" s="107">
        <v>0</v>
      </c>
      <c r="H555" s="107">
        <v>0</v>
      </c>
      <c r="I555" s="107">
        <v>0</v>
      </c>
      <c r="J555" s="107">
        <v>0</v>
      </c>
      <c r="K555" s="107"/>
      <c r="L555" s="107"/>
      <c r="M555" s="107">
        <v>0</v>
      </c>
      <c r="N555" s="107">
        <v>0</v>
      </c>
      <c r="O555" s="107">
        <v>0</v>
      </c>
      <c r="P555" s="107">
        <v>9697525.4476682395</v>
      </c>
      <c r="Q555" s="107">
        <v>0</v>
      </c>
      <c r="R555" s="107"/>
      <c r="S555" s="108"/>
      <c r="T555" s="145">
        <v>212065.24073176002</v>
      </c>
      <c r="U555" s="23">
        <f t="shared" si="66"/>
        <v>1</v>
      </c>
    </row>
    <row r="556" spans="1:22" x14ac:dyDescent="0.25">
      <c r="A556" s="102">
        <f t="shared" si="68"/>
        <v>537</v>
      </c>
      <c r="B556" s="101">
        <f t="shared" si="67"/>
        <v>75</v>
      </c>
      <c r="C556" s="73" t="s">
        <v>81</v>
      </c>
      <c r="D556" s="120" t="s">
        <v>205</v>
      </c>
      <c r="E556" s="123">
        <f t="shared" si="65"/>
        <v>9825604.9005436506</v>
      </c>
      <c r="F556" s="107">
        <v>4922338.54</v>
      </c>
      <c r="G556" s="107">
        <v>2955743</v>
      </c>
      <c r="H556" s="107">
        <v>0</v>
      </c>
      <c r="I556" s="107">
        <v>1405274.47</v>
      </c>
      <c r="J556" s="107">
        <v>0</v>
      </c>
      <c r="K556" s="107"/>
      <c r="L556" s="107">
        <v>300589.46674277715</v>
      </c>
      <c r="M556" s="107">
        <v>0</v>
      </c>
      <c r="N556" s="107">
        <v>0</v>
      </c>
      <c r="O556" s="107">
        <v>0</v>
      </c>
      <c r="P556" s="107">
        <v>0</v>
      </c>
      <c r="Q556" s="107">
        <v>0</v>
      </c>
      <c r="R556" s="107"/>
      <c r="S556" s="108"/>
      <c r="T556" s="145">
        <v>241659.42380087369</v>
      </c>
      <c r="U556" s="23">
        <f t="shared" si="66"/>
        <v>4</v>
      </c>
      <c r="V556" s="1" t="s">
        <v>155</v>
      </c>
    </row>
    <row r="557" spans="1:22" x14ac:dyDescent="0.25">
      <c r="A557" s="102">
        <f t="shared" si="68"/>
        <v>538</v>
      </c>
      <c r="B557" s="101">
        <f t="shared" si="67"/>
        <v>76</v>
      </c>
      <c r="C557" s="73" t="s">
        <v>81</v>
      </c>
      <c r="D557" s="120" t="s">
        <v>296</v>
      </c>
      <c r="E557" s="123">
        <f t="shared" si="65"/>
        <v>14643806.054135866</v>
      </c>
      <c r="F557" s="107">
        <v>6885723.9998886082</v>
      </c>
      <c r="G557" s="107">
        <v>2754946.3207044839</v>
      </c>
      <c r="H557" s="107">
        <v>2034797.5532993053</v>
      </c>
      <c r="I557" s="107">
        <v>2560101.8205176839</v>
      </c>
      <c r="J557" s="107">
        <v>0</v>
      </c>
      <c r="K557" s="107"/>
      <c r="L557" s="107">
        <v>305625.01899244369</v>
      </c>
      <c r="M557" s="107">
        <v>0</v>
      </c>
      <c r="N557" s="107">
        <v>0</v>
      </c>
      <c r="O557" s="107">
        <v>0</v>
      </c>
      <c r="P557" s="107">
        <v>0</v>
      </c>
      <c r="Q557" s="107">
        <v>0</v>
      </c>
      <c r="R557" s="107"/>
      <c r="S557" s="108"/>
      <c r="T557" s="145">
        <v>102611.34073333956</v>
      </c>
      <c r="U557" s="23">
        <f t="shared" si="66"/>
        <v>5</v>
      </c>
    </row>
    <row r="558" spans="1:22" x14ac:dyDescent="0.25">
      <c r="A558" s="102">
        <f t="shared" si="68"/>
        <v>539</v>
      </c>
      <c r="B558" s="101">
        <f t="shared" si="67"/>
        <v>77</v>
      </c>
      <c r="C558" s="73" t="s">
        <v>81</v>
      </c>
      <c r="D558" s="120" t="s">
        <v>366</v>
      </c>
      <c r="E558" s="123">
        <f t="shared" si="65"/>
        <v>9780000</v>
      </c>
      <c r="F558" s="107"/>
      <c r="G558" s="107"/>
      <c r="H558" s="107"/>
      <c r="I558" s="107"/>
      <c r="J558" s="107"/>
      <c r="K558" s="107"/>
      <c r="L558" s="107"/>
      <c r="M558" s="107">
        <v>9062814.5999999996</v>
      </c>
      <c r="N558" s="107"/>
      <c r="O558" s="107"/>
      <c r="P558" s="107"/>
      <c r="Q558" s="107"/>
      <c r="R558" s="107">
        <v>489000</v>
      </c>
      <c r="S558" s="108">
        <v>30000</v>
      </c>
      <c r="T558" s="145">
        <v>198185.4</v>
      </c>
      <c r="U558" s="23">
        <f t="shared" si="66"/>
        <v>1</v>
      </c>
    </row>
    <row r="559" spans="1:22" x14ac:dyDescent="0.25">
      <c r="A559" s="102">
        <f t="shared" si="68"/>
        <v>540</v>
      </c>
      <c r="B559" s="101">
        <f t="shared" si="67"/>
        <v>78</v>
      </c>
      <c r="C559" s="73" t="s">
        <v>81</v>
      </c>
      <c r="D559" s="120" t="s">
        <v>367</v>
      </c>
      <c r="E559" s="123">
        <f t="shared" si="65"/>
        <v>10733760.156627759</v>
      </c>
      <c r="F559" s="107">
        <v>6679650.6897583138</v>
      </c>
      <c r="G559" s="107">
        <v>0</v>
      </c>
      <c r="H559" s="107">
        <v>1973900.9116011779</v>
      </c>
      <c r="I559" s="107">
        <v>1261413.1742972373</v>
      </c>
      <c r="J559" s="107">
        <v>0</v>
      </c>
      <c r="K559" s="107"/>
      <c r="L559" s="107">
        <v>296767.5571071952</v>
      </c>
      <c r="M559" s="107">
        <v>0</v>
      </c>
      <c r="N559" s="107">
        <v>0</v>
      </c>
      <c r="O559" s="107">
        <v>0</v>
      </c>
      <c r="P559" s="107">
        <v>0</v>
      </c>
      <c r="Q559" s="107">
        <v>0</v>
      </c>
      <c r="R559" s="107">
        <v>298717.92</v>
      </c>
      <c r="S559" s="108"/>
      <c r="T559" s="145">
        <v>223309.90386383404</v>
      </c>
      <c r="U559" s="23">
        <f t="shared" si="66"/>
        <v>4</v>
      </c>
    </row>
    <row r="560" spans="1:22" x14ac:dyDescent="0.25">
      <c r="A560" s="102">
        <f t="shared" si="68"/>
        <v>541</v>
      </c>
      <c r="B560" s="101">
        <f t="shared" si="67"/>
        <v>79</v>
      </c>
      <c r="C560" s="73" t="s">
        <v>81</v>
      </c>
      <c r="D560" s="120" t="s">
        <v>368</v>
      </c>
      <c r="E560" s="123">
        <f t="shared" si="65"/>
        <v>3591360</v>
      </c>
      <c r="F560" s="107"/>
      <c r="G560" s="107"/>
      <c r="H560" s="107"/>
      <c r="I560" s="107"/>
      <c r="J560" s="107"/>
      <c r="K560" s="107"/>
      <c r="L560" s="107"/>
      <c r="M560" s="107">
        <v>3388344.6460698778</v>
      </c>
      <c r="N560" s="107"/>
      <c r="O560" s="107"/>
      <c r="P560" s="107"/>
      <c r="Q560" s="107"/>
      <c r="R560" s="148">
        <v>104919.11907839999</v>
      </c>
      <c r="S560" s="108">
        <v>24000</v>
      </c>
      <c r="T560" s="145">
        <v>74096.234851722242</v>
      </c>
      <c r="U560" s="23">
        <f t="shared" si="66"/>
        <v>1</v>
      </c>
    </row>
    <row r="561" spans="1:22" x14ac:dyDescent="0.25">
      <c r="A561" s="102">
        <f t="shared" si="68"/>
        <v>542</v>
      </c>
      <c r="B561" s="101">
        <f t="shared" si="67"/>
        <v>80</v>
      </c>
      <c r="C561" s="73" t="s">
        <v>81</v>
      </c>
      <c r="D561" s="120" t="s">
        <v>369</v>
      </c>
      <c r="E561" s="123">
        <f t="shared" si="65"/>
        <v>7182720</v>
      </c>
      <c r="F561" s="107"/>
      <c r="G561" s="107"/>
      <c r="H561" s="107"/>
      <c r="I561" s="107"/>
      <c r="J561" s="107"/>
      <c r="K561" s="107"/>
      <c r="L561" s="107"/>
      <c r="M561" s="107">
        <v>6868490.3575085625</v>
      </c>
      <c r="N561" s="107"/>
      <c r="O561" s="107"/>
      <c r="P561" s="107"/>
      <c r="Q561" s="107"/>
      <c r="R561" s="148">
        <v>140029.66941696001</v>
      </c>
      <c r="S561" s="108">
        <v>24000</v>
      </c>
      <c r="T561" s="145">
        <v>150199.97307447705</v>
      </c>
      <c r="U561" s="23">
        <f t="shared" si="66"/>
        <v>1</v>
      </c>
    </row>
    <row r="562" spans="1:22" x14ac:dyDescent="0.25">
      <c r="A562" s="102">
        <f t="shared" si="68"/>
        <v>543</v>
      </c>
      <c r="B562" s="101">
        <f t="shared" si="67"/>
        <v>81</v>
      </c>
      <c r="C562" s="73" t="s">
        <v>51</v>
      </c>
      <c r="D562" s="120" t="s">
        <v>500</v>
      </c>
      <c r="E562" s="123">
        <f t="shared" si="65"/>
        <v>2983684.0700000003</v>
      </c>
      <c r="F562" s="107">
        <v>0</v>
      </c>
      <c r="G562" s="107">
        <v>0</v>
      </c>
      <c r="H562" s="107">
        <v>2925994.6940138005</v>
      </c>
      <c r="I562" s="107">
        <v>0</v>
      </c>
      <c r="J562" s="107">
        <v>0</v>
      </c>
      <c r="K562" s="107"/>
      <c r="L562" s="107"/>
      <c r="M562" s="107">
        <v>0</v>
      </c>
      <c r="N562" s="107">
        <v>0</v>
      </c>
      <c r="O562" s="107">
        <v>0</v>
      </c>
      <c r="P562" s="107">
        <v>0</v>
      </c>
      <c r="Q562" s="107">
        <v>0</v>
      </c>
      <c r="R562" s="148"/>
      <c r="S562" s="107"/>
      <c r="T562" s="145">
        <v>57689.375986200001</v>
      </c>
      <c r="U562" s="23">
        <f t="shared" si="66"/>
        <v>1</v>
      </c>
    </row>
    <row r="563" spans="1:22" x14ac:dyDescent="0.25">
      <c r="A563" s="102">
        <f t="shared" si="68"/>
        <v>544</v>
      </c>
      <c r="B563" s="101">
        <f t="shared" si="67"/>
        <v>82</v>
      </c>
      <c r="C563" s="73" t="s">
        <v>51</v>
      </c>
      <c r="D563" s="120" t="s">
        <v>501</v>
      </c>
      <c r="E563" s="123">
        <f t="shared" si="65"/>
        <v>3390546.88</v>
      </c>
      <c r="F563" s="107">
        <v>0</v>
      </c>
      <c r="G563" s="107">
        <v>0</v>
      </c>
      <c r="H563" s="107">
        <v>0</v>
      </c>
      <c r="I563" s="107">
        <v>0</v>
      </c>
      <c r="J563" s="107">
        <v>0</v>
      </c>
      <c r="K563" s="107"/>
      <c r="L563" s="107"/>
      <c r="M563" s="107">
        <v>0</v>
      </c>
      <c r="N563" s="107">
        <v>3197890.5015539997</v>
      </c>
      <c r="O563" s="107">
        <v>0</v>
      </c>
      <c r="P563" s="107">
        <v>0</v>
      </c>
      <c r="Q563" s="107">
        <v>0</v>
      </c>
      <c r="R563" s="107">
        <v>85155.99</v>
      </c>
      <c r="S563" s="107">
        <f>37569</f>
        <v>37569</v>
      </c>
      <c r="T563" s="145">
        <v>69931.388445999997</v>
      </c>
      <c r="U563" s="23">
        <f t="shared" si="66"/>
        <v>1</v>
      </c>
    </row>
    <row r="564" spans="1:22" x14ac:dyDescent="0.25">
      <c r="A564" s="102">
        <f t="shared" si="68"/>
        <v>545</v>
      </c>
      <c r="B564" s="101">
        <f t="shared" si="67"/>
        <v>83</v>
      </c>
      <c r="C564" s="73" t="s">
        <v>51</v>
      </c>
      <c r="D564" s="120" t="s">
        <v>502</v>
      </c>
      <c r="E564" s="123">
        <f t="shared" si="65"/>
        <v>589567.59499999997</v>
      </c>
      <c r="F564" s="107"/>
      <c r="G564" s="107">
        <v>0</v>
      </c>
      <c r="H564" s="107">
        <v>576950.84846699995</v>
      </c>
      <c r="I564" s="107"/>
      <c r="J564" s="107"/>
      <c r="K564" s="107"/>
      <c r="L564" s="107"/>
      <c r="M564" s="107">
        <v>0</v>
      </c>
      <c r="N564" s="107">
        <v>0</v>
      </c>
      <c r="O564" s="107">
        <v>0</v>
      </c>
      <c r="P564" s="107">
        <v>0</v>
      </c>
      <c r="Q564" s="107">
        <v>0</v>
      </c>
      <c r="R564" s="107"/>
      <c r="S564" s="108"/>
      <c r="T564" s="145">
        <v>12616.746533000001</v>
      </c>
      <c r="U564" s="23">
        <f t="shared" si="66"/>
        <v>1</v>
      </c>
    </row>
    <row r="565" spans="1:22" x14ac:dyDescent="0.25">
      <c r="A565" s="102">
        <f t="shared" si="68"/>
        <v>546</v>
      </c>
      <c r="B565" s="101">
        <f t="shared" si="67"/>
        <v>84</v>
      </c>
      <c r="C565" s="73" t="s">
        <v>51</v>
      </c>
      <c r="D565" s="120" t="s">
        <v>503</v>
      </c>
      <c r="E565" s="123">
        <f t="shared" si="65"/>
        <v>510140.45280000003</v>
      </c>
      <c r="F565" s="107"/>
      <c r="G565" s="107">
        <v>0</v>
      </c>
      <c r="H565" s="107">
        <v>499223.44711008004</v>
      </c>
      <c r="I565" s="107"/>
      <c r="J565" s="107"/>
      <c r="K565" s="107"/>
      <c r="L565" s="107"/>
      <c r="M565" s="107">
        <v>0</v>
      </c>
      <c r="N565" s="107">
        <v>0</v>
      </c>
      <c r="O565" s="107">
        <v>0</v>
      </c>
      <c r="P565" s="107">
        <v>0</v>
      </c>
      <c r="Q565" s="107">
        <v>0</v>
      </c>
      <c r="R565" s="107"/>
      <c r="S565" s="108"/>
      <c r="T565" s="145">
        <v>10917.005689920001</v>
      </c>
      <c r="U565" s="23">
        <f t="shared" si="66"/>
        <v>1</v>
      </c>
    </row>
    <row r="566" spans="1:22" x14ac:dyDescent="0.25">
      <c r="A566" s="102">
        <f t="shared" si="68"/>
        <v>547</v>
      </c>
      <c r="B566" s="101">
        <f t="shared" si="67"/>
        <v>85</v>
      </c>
      <c r="C566" s="73" t="s">
        <v>51</v>
      </c>
      <c r="D566" s="120" t="s">
        <v>504</v>
      </c>
      <c r="E566" s="123">
        <f t="shared" si="65"/>
        <v>386646.94530000002</v>
      </c>
      <c r="F566" s="107"/>
      <c r="G566" s="107"/>
      <c r="H566" s="107">
        <v>378372.70067058003</v>
      </c>
      <c r="I566" s="107">
        <v>0</v>
      </c>
      <c r="J566" s="107">
        <v>0</v>
      </c>
      <c r="K566" s="107"/>
      <c r="L566" s="107"/>
      <c r="M566" s="107"/>
      <c r="N566" s="107"/>
      <c r="O566" s="107"/>
      <c r="P566" s="107"/>
      <c r="Q566" s="107"/>
      <c r="R566" s="107"/>
      <c r="S566" s="108"/>
      <c r="T566" s="145">
        <v>8274.2446294200017</v>
      </c>
      <c r="U566" s="23">
        <f t="shared" si="66"/>
        <v>1</v>
      </c>
    </row>
    <row r="567" spans="1:22" x14ac:dyDescent="0.25">
      <c r="A567" s="102">
        <f t="shared" si="68"/>
        <v>548</v>
      </c>
      <c r="B567" s="101">
        <f t="shared" si="67"/>
        <v>86</v>
      </c>
      <c r="C567" s="73" t="s">
        <v>51</v>
      </c>
      <c r="D567" s="120" t="s">
        <v>505</v>
      </c>
      <c r="E567" s="123">
        <f t="shared" si="65"/>
        <v>2225415.9724342371</v>
      </c>
      <c r="F567" s="107">
        <v>1303091.9754052199</v>
      </c>
      <c r="G567" s="107">
        <v>0</v>
      </c>
      <c r="H567" s="107">
        <v>373626.55878113996</v>
      </c>
      <c r="I567" s="107">
        <v>318408.58904399996</v>
      </c>
      <c r="J567" s="107">
        <v>0</v>
      </c>
      <c r="K567" s="107"/>
      <c r="L567" s="107">
        <v>186659.45983423694</v>
      </c>
      <c r="M567" s="107">
        <v>0</v>
      </c>
      <c r="N567" s="107">
        <v>0</v>
      </c>
      <c r="O567" s="107">
        <v>0</v>
      </c>
      <c r="P567" s="107">
        <v>0</v>
      </c>
      <c r="Q567" s="107">
        <v>0</v>
      </c>
      <c r="R567" s="107"/>
      <c r="S567" s="108"/>
      <c r="T567" s="145">
        <v>43629.389369639997</v>
      </c>
      <c r="U567" s="23">
        <f t="shared" ref="U567:U592" si="69">COUNTIF(F567:Q567,"&gt;0")</f>
        <v>4</v>
      </c>
    </row>
    <row r="568" spans="1:22" x14ac:dyDescent="0.25">
      <c r="A568" s="102">
        <f t="shared" si="68"/>
        <v>549</v>
      </c>
      <c r="B568" s="101">
        <f t="shared" si="67"/>
        <v>87</v>
      </c>
      <c r="C568" s="73" t="s">
        <v>51</v>
      </c>
      <c r="D568" s="120" t="s">
        <v>506</v>
      </c>
      <c r="E568" s="123">
        <f t="shared" si="65"/>
        <v>21536888.215718932</v>
      </c>
      <c r="F568" s="107"/>
      <c r="G568" s="107"/>
      <c r="H568" s="107"/>
      <c r="I568" s="107"/>
      <c r="J568" s="107"/>
      <c r="K568" s="107"/>
      <c r="L568" s="107"/>
      <c r="M568" s="107">
        <v>20793974.399999999</v>
      </c>
      <c r="N568" s="107"/>
      <c r="O568" s="107"/>
      <c r="P568" s="107"/>
      <c r="Q568" s="107"/>
      <c r="R568" s="107">
        <v>263945.2194144</v>
      </c>
      <c r="S568" s="108">
        <v>24000</v>
      </c>
      <c r="T568" s="145">
        <v>454968.59630453185</v>
      </c>
      <c r="U568" s="23">
        <f t="shared" si="69"/>
        <v>1</v>
      </c>
      <c r="V568" s="1" t="s">
        <v>144</v>
      </c>
    </row>
    <row r="569" spans="1:22" x14ac:dyDescent="0.25">
      <c r="A569" s="102">
        <f t="shared" si="68"/>
        <v>550</v>
      </c>
      <c r="B569" s="101">
        <f t="shared" si="67"/>
        <v>88</v>
      </c>
      <c r="C569" s="73" t="s">
        <v>51</v>
      </c>
      <c r="D569" s="120" t="s">
        <v>507</v>
      </c>
      <c r="E569" s="123">
        <f t="shared" si="65"/>
        <v>25139520</v>
      </c>
      <c r="F569" s="107"/>
      <c r="G569" s="107"/>
      <c r="H569" s="107"/>
      <c r="I569" s="107"/>
      <c r="J569" s="107"/>
      <c r="K569" s="107"/>
      <c r="L569" s="107"/>
      <c r="M569" s="107">
        <v>23617472.90112</v>
      </c>
      <c r="N569" s="107">
        <v>0</v>
      </c>
      <c r="O569" s="107">
        <v>0</v>
      </c>
      <c r="P569" s="107">
        <v>0</v>
      </c>
      <c r="Q569" s="107">
        <v>0</v>
      </c>
      <c r="R569" s="107">
        <v>754185.6</v>
      </c>
      <c r="S569" s="108">
        <v>251395.20000000001</v>
      </c>
      <c r="T569" s="145">
        <v>516466.29888000002</v>
      </c>
      <c r="U569" s="23">
        <f t="shared" si="69"/>
        <v>1</v>
      </c>
    </row>
    <row r="570" spans="1:22" x14ac:dyDescent="0.25">
      <c r="A570" s="102">
        <f t="shared" si="68"/>
        <v>551</v>
      </c>
      <c r="B570" s="101">
        <f t="shared" si="67"/>
        <v>89</v>
      </c>
      <c r="C570" s="73" t="s">
        <v>51</v>
      </c>
      <c r="D570" s="120" t="s">
        <v>508</v>
      </c>
      <c r="E570" s="123">
        <f t="shared" si="65"/>
        <v>14391493.255421314</v>
      </c>
      <c r="F570" s="107"/>
      <c r="G570" s="107"/>
      <c r="H570" s="107"/>
      <c r="I570" s="107"/>
      <c r="J570" s="107"/>
      <c r="K570" s="107"/>
      <c r="L570" s="107"/>
      <c r="M570" s="107">
        <v>13862649.6</v>
      </c>
      <c r="N570" s="107"/>
      <c r="O570" s="107"/>
      <c r="P570" s="107"/>
      <c r="Q570" s="107"/>
      <c r="R570" s="107">
        <v>202265.31720959998</v>
      </c>
      <c r="S570" s="108">
        <v>24000</v>
      </c>
      <c r="T570" s="145">
        <v>302578.33821171458</v>
      </c>
      <c r="U570" s="23">
        <f t="shared" si="69"/>
        <v>1</v>
      </c>
      <c r="V570" s="1" t="s">
        <v>144</v>
      </c>
    </row>
    <row r="571" spans="1:22" x14ac:dyDescent="0.25">
      <c r="A571" s="102">
        <f t="shared" si="68"/>
        <v>552</v>
      </c>
      <c r="B571" s="101">
        <f t="shared" si="67"/>
        <v>90</v>
      </c>
      <c r="C571" s="73" t="s">
        <v>51</v>
      </c>
      <c r="D571" s="120" t="s">
        <v>509</v>
      </c>
      <c r="E571" s="123">
        <f t="shared" si="65"/>
        <v>39603482.628111437</v>
      </c>
      <c r="F571" s="107">
        <v>13616559.511674002</v>
      </c>
      <c r="G571" s="107">
        <v>4892953.0885143364</v>
      </c>
      <c r="H571" s="107">
        <v>5159278.8563651238</v>
      </c>
      <c r="I571" s="107">
        <v>3303637.3136041779</v>
      </c>
      <c r="J571" s="107"/>
      <c r="K571" s="107"/>
      <c r="L571" s="107">
        <v>488558.85729000001</v>
      </c>
      <c r="M571" s="107">
        <v>0</v>
      </c>
      <c r="N571" s="107">
        <v>11343089.619999999</v>
      </c>
      <c r="O571" s="107">
        <v>0</v>
      </c>
      <c r="P571" s="107">
        <v>0</v>
      </c>
      <c r="Q571" s="107">
        <v>0</v>
      </c>
      <c r="R571" s="107">
        <v>596430.70650000009</v>
      </c>
      <c r="S571" s="107">
        <v>24992.426500000001</v>
      </c>
      <c r="T571" s="145">
        <v>177982.24766380002</v>
      </c>
      <c r="U571" s="23">
        <f t="shared" si="69"/>
        <v>6</v>
      </c>
    </row>
    <row r="572" spans="1:22" x14ac:dyDescent="0.25">
      <c r="A572" s="102">
        <f t="shared" si="68"/>
        <v>553</v>
      </c>
      <c r="B572" s="101">
        <f t="shared" si="67"/>
        <v>91</v>
      </c>
      <c r="C572" s="73" t="s">
        <v>51</v>
      </c>
      <c r="D572" s="120" t="s">
        <v>393</v>
      </c>
      <c r="E572" s="123">
        <f t="shared" si="65"/>
        <v>23235694.261726003</v>
      </c>
      <c r="F572" s="107">
        <v>5940143.1063865805</v>
      </c>
      <c r="G572" s="107">
        <v>2116717.1923795803</v>
      </c>
      <c r="H572" s="107">
        <v>2211498.4827243001</v>
      </c>
      <c r="I572" s="107">
        <v>1384537.88247348</v>
      </c>
      <c r="J572" s="107"/>
      <c r="K572" s="107"/>
      <c r="L572" s="107">
        <v>227939.55009504</v>
      </c>
      <c r="M572" s="107">
        <v>0</v>
      </c>
      <c r="N572" s="107">
        <v>10859485.412210401</v>
      </c>
      <c r="O572" s="107">
        <v>0</v>
      </c>
      <c r="P572" s="107">
        <v>0</v>
      </c>
      <c r="Q572" s="107">
        <v>0</v>
      </c>
      <c r="R572" s="107"/>
      <c r="S572" s="108"/>
      <c r="T572" s="145">
        <v>495372.63545662002</v>
      </c>
      <c r="U572" s="23">
        <f t="shared" si="69"/>
        <v>6</v>
      </c>
    </row>
    <row r="573" spans="1:22" x14ac:dyDescent="0.25">
      <c r="A573" s="102">
        <f t="shared" si="68"/>
        <v>554</v>
      </c>
      <c r="B573" s="101">
        <f t="shared" si="67"/>
        <v>92</v>
      </c>
      <c r="C573" s="73" t="s">
        <v>51</v>
      </c>
      <c r="D573" s="120" t="s">
        <v>510</v>
      </c>
      <c r="E573" s="123">
        <f t="shared" si="65"/>
        <v>4184287.1891999999</v>
      </c>
      <c r="F573" s="107"/>
      <c r="G573" s="107"/>
      <c r="H573" s="107">
        <v>615427.84556945995</v>
      </c>
      <c r="I573" s="107"/>
      <c r="J573" s="107">
        <v>0</v>
      </c>
      <c r="K573" s="107"/>
      <c r="L573" s="107"/>
      <c r="M573" s="107">
        <v>0</v>
      </c>
      <c r="N573" s="107"/>
      <c r="O573" s="107">
        <v>0</v>
      </c>
      <c r="P573" s="107">
        <v>3479315.59778166</v>
      </c>
      <c r="Q573" s="107"/>
      <c r="R573" s="107"/>
      <c r="S573" s="108"/>
      <c r="T573" s="145">
        <v>89543.745848880018</v>
      </c>
      <c r="U573" s="23">
        <f t="shared" si="69"/>
        <v>2</v>
      </c>
    </row>
    <row r="574" spans="1:22" x14ac:dyDescent="0.25">
      <c r="A574" s="102">
        <f t="shared" si="68"/>
        <v>555</v>
      </c>
      <c r="B574" s="101">
        <f t="shared" si="67"/>
        <v>93</v>
      </c>
      <c r="C574" s="73" t="s">
        <v>51</v>
      </c>
      <c r="D574" s="120" t="s">
        <v>396</v>
      </c>
      <c r="E574" s="123">
        <f t="shared" si="65"/>
        <v>41194600.280000001</v>
      </c>
      <c r="F574" s="107"/>
      <c r="G574" s="107"/>
      <c r="H574" s="107"/>
      <c r="I574" s="107"/>
      <c r="J574" s="107"/>
      <c r="K574" s="107"/>
      <c r="L574" s="107"/>
      <c r="M574" s="107"/>
      <c r="N574" s="107"/>
      <c r="O574" s="107">
        <v>0</v>
      </c>
      <c r="P574" s="107">
        <v>40313035.834008001</v>
      </c>
      <c r="Q574" s="107">
        <v>0</v>
      </c>
      <c r="R574" s="107"/>
      <c r="S574" s="108"/>
      <c r="T574" s="145">
        <v>881564.44599200005</v>
      </c>
      <c r="U574" s="23">
        <f t="shared" si="69"/>
        <v>1</v>
      </c>
    </row>
    <row r="575" spans="1:22" x14ac:dyDescent="0.25">
      <c r="A575" s="102">
        <f t="shared" si="68"/>
        <v>556</v>
      </c>
      <c r="B575" s="101">
        <f t="shared" si="67"/>
        <v>94</v>
      </c>
      <c r="C575" s="73" t="s">
        <v>51</v>
      </c>
      <c r="D575" s="120" t="s">
        <v>511</v>
      </c>
      <c r="E575" s="123">
        <f t="shared" si="65"/>
        <v>17444911.509005461</v>
      </c>
      <c r="F575" s="107">
        <v>0</v>
      </c>
      <c r="G575" s="107">
        <v>0</v>
      </c>
      <c r="H575" s="107">
        <v>0</v>
      </c>
      <c r="I575" s="107">
        <v>1124212.3435180259</v>
      </c>
      <c r="J575" s="107">
        <v>0</v>
      </c>
      <c r="K575" s="107"/>
      <c r="L575" s="107"/>
      <c r="M575" s="107">
        <v>0</v>
      </c>
      <c r="N575" s="107">
        <v>4206748.5157533297</v>
      </c>
      <c r="O575" s="107">
        <v>0</v>
      </c>
      <c r="P575" s="107">
        <v>8272430.9336326644</v>
      </c>
      <c r="Q575" s="107">
        <v>3193396.3000122053</v>
      </c>
      <c r="R575" s="107">
        <v>215153.97</v>
      </c>
      <c r="S575" s="107">
        <f>65657.7097212739</f>
        <v>65657.709721273903</v>
      </c>
      <c r="T575" s="145">
        <v>367311.73636796477</v>
      </c>
      <c r="U575" s="23">
        <f t="shared" si="69"/>
        <v>4</v>
      </c>
    </row>
    <row r="576" spans="1:22" x14ac:dyDescent="0.25">
      <c r="A576" s="102">
        <f t="shared" si="68"/>
        <v>557</v>
      </c>
      <c r="B576" s="101">
        <f t="shared" si="67"/>
        <v>95</v>
      </c>
      <c r="C576" s="73" t="s">
        <v>51</v>
      </c>
      <c r="D576" s="120" t="s">
        <v>512</v>
      </c>
      <c r="E576" s="123">
        <f t="shared" si="65"/>
        <v>4999499.0117999995</v>
      </c>
      <c r="F576" s="107">
        <v>0</v>
      </c>
      <c r="G576" s="107">
        <v>0</v>
      </c>
      <c r="H576" s="107">
        <v>0</v>
      </c>
      <c r="I576" s="107">
        <v>0</v>
      </c>
      <c r="J576" s="107">
        <v>0</v>
      </c>
      <c r="K576" s="107"/>
      <c r="L576" s="107"/>
      <c r="M576" s="107">
        <v>0</v>
      </c>
      <c r="N576" s="107">
        <v>0</v>
      </c>
      <c r="O576" s="107">
        <v>0</v>
      </c>
      <c r="P576" s="107">
        <v>4892509.7329474799</v>
      </c>
      <c r="Q576" s="107">
        <v>0</v>
      </c>
      <c r="R576" s="107"/>
      <c r="S576" s="108"/>
      <c r="T576" s="145">
        <v>106989.27885251999</v>
      </c>
      <c r="U576" s="23">
        <f t="shared" si="69"/>
        <v>1</v>
      </c>
    </row>
    <row r="577" spans="1:22" x14ac:dyDescent="0.25">
      <c r="A577" s="102">
        <f t="shared" si="68"/>
        <v>558</v>
      </c>
      <c r="B577" s="101">
        <f t="shared" si="67"/>
        <v>96</v>
      </c>
      <c r="C577" s="73" t="s">
        <v>51</v>
      </c>
      <c r="D577" s="120" t="s">
        <v>513</v>
      </c>
      <c r="E577" s="123">
        <f t="shared" si="65"/>
        <v>2312595.8024999998</v>
      </c>
      <c r="F577" s="107">
        <v>0</v>
      </c>
      <c r="G577" s="107"/>
      <c r="H577" s="107">
        <v>2263106.2523264997</v>
      </c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8"/>
      <c r="T577" s="145">
        <v>49489.550173499993</v>
      </c>
      <c r="U577" s="23">
        <f t="shared" si="69"/>
        <v>1</v>
      </c>
    </row>
    <row r="578" spans="1:22" x14ac:dyDescent="0.25">
      <c r="A578" s="102">
        <f t="shared" si="68"/>
        <v>559</v>
      </c>
      <c r="B578" s="101">
        <f t="shared" si="67"/>
        <v>97</v>
      </c>
      <c r="C578" s="73" t="s">
        <v>51</v>
      </c>
      <c r="D578" s="120" t="s">
        <v>514</v>
      </c>
      <c r="E578" s="123">
        <f t="shared" si="65"/>
        <v>1578343.95</v>
      </c>
      <c r="F578" s="107">
        <v>0</v>
      </c>
      <c r="G578" s="107">
        <v>0</v>
      </c>
      <c r="H578" s="107">
        <v>0</v>
      </c>
      <c r="I578" s="107">
        <v>0</v>
      </c>
      <c r="J578" s="107">
        <v>1544567.3894700001</v>
      </c>
      <c r="K578" s="107"/>
      <c r="L578" s="107"/>
      <c r="M578" s="107">
        <v>0</v>
      </c>
      <c r="N578" s="107">
        <v>0</v>
      </c>
      <c r="O578" s="107">
        <v>0</v>
      </c>
      <c r="P578" s="107">
        <v>0</v>
      </c>
      <c r="Q578" s="107">
        <v>0</v>
      </c>
      <c r="R578" s="107"/>
      <c r="S578" s="108"/>
      <c r="T578" s="145">
        <v>33776.560530000002</v>
      </c>
      <c r="U578" s="23">
        <f t="shared" si="69"/>
        <v>1</v>
      </c>
    </row>
    <row r="579" spans="1:22" x14ac:dyDescent="0.25">
      <c r="A579" s="102">
        <f t="shared" si="68"/>
        <v>560</v>
      </c>
      <c r="B579" s="101">
        <f t="shared" si="67"/>
        <v>98</v>
      </c>
      <c r="C579" s="73" t="s">
        <v>51</v>
      </c>
      <c r="D579" s="120" t="s">
        <v>458</v>
      </c>
      <c r="E579" s="123">
        <f t="shared" si="65"/>
        <v>8241862.8259200007</v>
      </c>
      <c r="F579" s="107">
        <v>0</v>
      </c>
      <c r="G579" s="107">
        <v>0</v>
      </c>
      <c r="H579" s="107">
        <v>0</v>
      </c>
      <c r="I579" s="107">
        <v>0</v>
      </c>
      <c r="J579" s="107"/>
      <c r="K579" s="107"/>
      <c r="L579" s="107"/>
      <c r="M579" s="107"/>
      <c r="N579" s="107"/>
      <c r="O579" s="107"/>
      <c r="P579" s="107"/>
      <c r="Q579" s="107">
        <v>8060676.2652087007</v>
      </c>
      <c r="R579" s="107"/>
      <c r="S579" s="108"/>
      <c r="T579" s="145">
        <v>181186.5607113</v>
      </c>
      <c r="U579" s="23">
        <f t="shared" si="69"/>
        <v>1</v>
      </c>
    </row>
    <row r="580" spans="1:22" x14ac:dyDescent="0.25">
      <c r="A580" s="102">
        <f t="shared" si="68"/>
        <v>561</v>
      </c>
      <c r="B580" s="101">
        <f t="shared" si="67"/>
        <v>99</v>
      </c>
      <c r="C580" s="73" t="s">
        <v>51</v>
      </c>
      <c r="D580" s="120" t="s">
        <v>515</v>
      </c>
      <c r="E580" s="123">
        <f t="shared" si="65"/>
        <v>19851445.394642435</v>
      </c>
      <c r="F580" s="107">
        <v>3048488.282036359</v>
      </c>
      <c r="G580" s="107">
        <v>1046363.8424675158</v>
      </c>
      <c r="H580" s="107">
        <v>1175152.5274663931</v>
      </c>
      <c r="I580" s="107">
        <v>684429.62946462689</v>
      </c>
      <c r="J580" s="107">
        <v>418755.41834311327</v>
      </c>
      <c r="K580" s="107"/>
      <c r="L580" s="107">
        <v>112672.74739903695</v>
      </c>
      <c r="M580" s="107">
        <v>0</v>
      </c>
      <c r="N580" s="107">
        <v>5747272.2854321953</v>
      </c>
      <c r="O580" s="107">
        <v>0</v>
      </c>
      <c r="P580" s="107">
        <v>2787205.8316406263</v>
      </c>
      <c r="Q580" s="107">
        <v>3006324.689740113</v>
      </c>
      <c r="R580" s="107">
        <v>1430573.4817158235</v>
      </c>
      <c r="S580" s="108"/>
      <c r="T580" s="145">
        <v>394206.65893662942</v>
      </c>
      <c r="U580" s="23">
        <f t="shared" si="69"/>
        <v>9</v>
      </c>
    </row>
    <row r="581" spans="1:22" x14ac:dyDescent="0.25">
      <c r="A581" s="102">
        <f t="shared" si="68"/>
        <v>562</v>
      </c>
      <c r="B581" s="101">
        <f t="shared" si="67"/>
        <v>100</v>
      </c>
      <c r="C581" s="73" t="s">
        <v>51</v>
      </c>
      <c r="D581" s="120" t="s">
        <v>461</v>
      </c>
      <c r="E581" s="123">
        <f t="shared" si="65"/>
        <v>11822611.090756001</v>
      </c>
      <c r="F581" s="107">
        <v>0</v>
      </c>
      <c r="G581" s="107">
        <v>0</v>
      </c>
      <c r="H581" s="107">
        <v>0</v>
      </c>
      <c r="I581" s="107">
        <v>0</v>
      </c>
      <c r="J581" s="107"/>
      <c r="K581" s="107"/>
      <c r="L581" s="107"/>
      <c r="M581" s="107"/>
      <c r="N581" s="107"/>
      <c r="O581" s="107"/>
      <c r="P581" s="107"/>
      <c r="Q581" s="107">
        <v>11561490.38701188</v>
      </c>
      <c r="R581" s="107"/>
      <c r="S581" s="108"/>
      <c r="T581" s="145">
        <v>261120.70374411999</v>
      </c>
      <c r="U581" s="23">
        <f t="shared" si="69"/>
        <v>1</v>
      </c>
    </row>
    <row r="582" spans="1:22" x14ac:dyDescent="0.25">
      <c r="A582" s="102">
        <f t="shared" si="68"/>
        <v>563</v>
      </c>
      <c r="B582" s="101">
        <f t="shared" si="67"/>
        <v>101</v>
      </c>
      <c r="C582" s="73" t="s">
        <v>51</v>
      </c>
      <c r="D582" s="120" t="s">
        <v>516</v>
      </c>
      <c r="E582" s="123">
        <f t="shared" si="65"/>
        <v>1090383.0156</v>
      </c>
      <c r="F582" s="107">
        <v>0</v>
      </c>
      <c r="G582" s="107">
        <v>0</v>
      </c>
      <c r="H582" s="107">
        <v>0</v>
      </c>
      <c r="I582" s="107">
        <v>0</v>
      </c>
      <c r="J582" s="107">
        <v>1067048.8190661601</v>
      </c>
      <c r="K582" s="107"/>
      <c r="L582" s="107"/>
      <c r="M582" s="107">
        <v>0</v>
      </c>
      <c r="N582" s="107">
        <v>0</v>
      </c>
      <c r="O582" s="107">
        <v>0</v>
      </c>
      <c r="P582" s="107">
        <v>0</v>
      </c>
      <c r="Q582" s="107">
        <v>0</v>
      </c>
      <c r="R582" s="107"/>
      <c r="S582" s="108"/>
      <c r="T582" s="145">
        <v>23334.19653384</v>
      </c>
      <c r="U582" s="23">
        <f t="shared" si="69"/>
        <v>1</v>
      </c>
    </row>
    <row r="583" spans="1:22" x14ac:dyDescent="0.25">
      <c r="A583" s="102">
        <f t="shared" si="68"/>
        <v>564</v>
      </c>
      <c r="B583" s="101">
        <f t="shared" si="67"/>
        <v>102</v>
      </c>
      <c r="C583" s="73" t="s">
        <v>51</v>
      </c>
      <c r="D583" s="120" t="s">
        <v>517</v>
      </c>
      <c r="E583" s="123">
        <f t="shared" si="65"/>
        <v>48200635.318056263</v>
      </c>
      <c r="F583" s="107">
        <v>12121082.414478905</v>
      </c>
      <c r="G583" s="107">
        <v>4380765.675573769</v>
      </c>
      <c r="H583" s="107">
        <v>4601142.9003424933</v>
      </c>
      <c r="I583" s="107">
        <v>2961095.0258614775</v>
      </c>
      <c r="J583" s="107">
        <v>0</v>
      </c>
      <c r="K583" s="107"/>
      <c r="L583" s="107">
        <v>424957.37324978667</v>
      </c>
      <c r="M583" s="107"/>
      <c r="N583" s="107">
        <v>22433958.735577341</v>
      </c>
      <c r="O583" s="107">
        <v>0</v>
      </c>
      <c r="P583" s="107">
        <v>0</v>
      </c>
      <c r="Q583" s="107">
        <v>0</v>
      </c>
      <c r="R583" s="107">
        <v>223091.04581957759</v>
      </c>
      <c r="S583" s="108">
        <v>28431.125819577603</v>
      </c>
      <c r="T583" s="145">
        <v>1026111.021333326</v>
      </c>
      <c r="U583" s="23">
        <f t="shared" si="69"/>
        <v>6</v>
      </c>
    </row>
    <row r="584" spans="1:22" x14ac:dyDescent="0.25">
      <c r="A584" s="102">
        <f t="shared" si="68"/>
        <v>565</v>
      </c>
      <c r="B584" s="101">
        <f t="shared" si="67"/>
        <v>103</v>
      </c>
      <c r="C584" s="73" t="s">
        <v>51</v>
      </c>
      <c r="D584" s="120" t="s">
        <v>401</v>
      </c>
      <c r="E584" s="123">
        <f t="shared" si="65"/>
        <v>25963028.650542274</v>
      </c>
      <c r="F584" s="107">
        <v>6531079.8989818199</v>
      </c>
      <c r="G584" s="107">
        <v>0</v>
      </c>
      <c r="H584" s="107">
        <v>0</v>
      </c>
      <c r="I584" s="107">
        <v>0</v>
      </c>
      <c r="J584" s="107"/>
      <c r="K584" s="107"/>
      <c r="L584" s="107">
        <v>250556.9266902724</v>
      </c>
      <c r="M584" s="107">
        <v>0</v>
      </c>
      <c r="N584" s="107">
        <v>11939807.781027</v>
      </c>
      <c r="O584" s="107">
        <v>0</v>
      </c>
      <c r="P584" s="107"/>
      <c r="Q584" s="107">
        <v>6686566.5827221796</v>
      </c>
      <c r="R584" s="107"/>
      <c r="S584" s="108"/>
      <c r="T584" s="145">
        <v>555017.461121</v>
      </c>
      <c r="U584" s="23">
        <f t="shared" si="69"/>
        <v>4</v>
      </c>
    </row>
    <row r="585" spans="1:22" x14ac:dyDescent="0.25">
      <c r="A585" s="102">
        <f t="shared" si="68"/>
        <v>566</v>
      </c>
      <c r="B585" s="101">
        <f t="shared" si="67"/>
        <v>104</v>
      </c>
      <c r="C585" s="73" t="s">
        <v>51</v>
      </c>
      <c r="D585" s="120" t="s">
        <v>518</v>
      </c>
      <c r="E585" s="123">
        <f t="shared" si="65"/>
        <v>5448578.1979546407</v>
      </c>
      <c r="F585" s="107">
        <v>3811453.2757858438</v>
      </c>
      <c r="G585" s="107">
        <v>1358171.5896537462</v>
      </c>
      <c r="H585" s="107">
        <v>0</v>
      </c>
      <c r="I585" s="107">
        <v>0</v>
      </c>
      <c r="J585" s="107"/>
      <c r="K585" s="107"/>
      <c r="L585" s="107">
        <v>146248.29168861095</v>
      </c>
      <c r="M585" s="107">
        <v>0</v>
      </c>
      <c r="N585" s="107">
        <v>0</v>
      </c>
      <c r="O585" s="107">
        <v>0</v>
      </c>
      <c r="P585" s="107">
        <v>0</v>
      </c>
      <c r="Q585" s="107">
        <v>0</v>
      </c>
      <c r="R585" s="107">
        <v>19875.37</v>
      </c>
      <c r="S585" s="108"/>
      <c r="T585" s="145">
        <v>112829.67082643999</v>
      </c>
      <c r="U585" s="23">
        <f t="shared" si="69"/>
        <v>3</v>
      </c>
    </row>
    <row r="586" spans="1:22" x14ac:dyDescent="0.25">
      <c r="A586" s="102">
        <f t="shared" si="68"/>
        <v>567</v>
      </c>
      <c r="B586" s="101">
        <f t="shared" si="67"/>
        <v>105</v>
      </c>
      <c r="C586" s="73" t="s">
        <v>51</v>
      </c>
      <c r="D586" s="120" t="s">
        <v>519</v>
      </c>
      <c r="E586" s="123">
        <f t="shared" si="65"/>
        <v>54110859.14588251</v>
      </c>
      <c r="F586" s="107">
        <v>5679229.6643968001</v>
      </c>
      <c r="G586" s="107">
        <v>3284467.252180547</v>
      </c>
      <c r="H586" s="107">
        <v>3471907.125313418</v>
      </c>
      <c r="I586" s="107">
        <v>2647358.0368553139</v>
      </c>
      <c r="J586" s="107"/>
      <c r="K586" s="107"/>
      <c r="L586" s="107">
        <v>282207.60890328896</v>
      </c>
      <c r="M586" s="107">
        <v>0</v>
      </c>
      <c r="N586" s="107">
        <v>10109884.47232125</v>
      </c>
      <c r="O586" s="107">
        <v>0</v>
      </c>
      <c r="P586" s="107">
        <v>19628428.19913204</v>
      </c>
      <c r="Q586" s="107">
        <v>7719599.7672266429</v>
      </c>
      <c r="R586" s="107">
        <v>263779.37</v>
      </c>
      <c r="S586" s="108"/>
      <c r="T586" s="145">
        <v>1023997.6495532069</v>
      </c>
      <c r="U586" s="23">
        <f t="shared" si="69"/>
        <v>8</v>
      </c>
      <c r="V586" s="1" t="s">
        <v>143</v>
      </c>
    </row>
    <row r="587" spans="1:22" x14ac:dyDescent="0.25">
      <c r="A587" s="102">
        <f t="shared" si="68"/>
        <v>568</v>
      </c>
      <c r="B587" s="101">
        <f t="shared" si="67"/>
        <v>106</v>
      </c>
      <c r="C587" s="73" t="s">
        <v>51</v>
      </c>
      <c r="D587" s="120" t="s">
        <v>520</v>
      </c>
      <c r="E587" s="123">
        <f t="shared" si="65"/>
        <v>36845076.000025973</v>
      </c>
      <c r="F587" s="107">
        <v>8643306.5260717943</v>
      </c>
      <c r="G587" s="107">
        <v>3051788.9179595588</v>
      </c>
      <c r="H587" s="107">
        <v>3312688.9008027716</v>
      </c>
      <c r="I587" s="107">
        <v>1899697.0697645312</v>
      </c>
      <c r="J587" s="107">
        <v>1459023.889443727</v>
      </c>
      <c r="K587" s="107"/>
      <c r="L587" s="107">
        <v>312733.52125871408</v>
      </c>
      <c r="M587" s="107">
        <v>0</v>
      </c>
      <c r="N587" s="107">
        <v>16148584.35262032</v>
      </c>
      <c r="O587" s="107">
        <v>0</v>
      </c>
      <c r="P587" s="107">
        <v>0</v>
      </c>
      <c r="Q587" s="107">
        <v>0</v>
      </c>
      <c r="R587" s="107">
        <v>1231638.8674678032</v>
      </c>
      <c r="S587" s="108">
        <v>24000</v>
      </c>
      <c r="T587" s="145">
        <v>761613.95463674469</v>
      </c>
      <c r="U587" s="23">
        <f t="shared" si="69"/>
        <v>7</v>
      </c>
    </row>
    <row r="588" spans="1:22" x14ac:dyDescent="0.25">
      <c r="A588" s="102">
        <f t="shared" si="68"/>
        <v>569</v>
      </c>
      <c r="B588" s="101">
        <f t="shared" si="67"/>
        <v>107</v>
      </c>
      <c r="C588" s="73" t="s">
        <v>51</v>
      </c>
      <c r="D588" s="120" t="s">
        <v>463</v>
      </c>
      <c r="E588" s="123">
        <f t="shared" si="65"/>
        <v>20404912.125809953</v>
      </c>
      <c r="F588" s="107">
        <v>8202360.1409184821</v>
      </c>
      <c r="G588" s="107">
        <v>2922825.417348688</v>
      </c>
      <c r="H588" s="107">
        <v>3053714.1501469188</v>
      </c>
      <c r="I588" s="107">
        <v>1911828.5974678639</v>
      </c>
      <c r="J588" s="107">
        <v>1169716.4320007851</v>
      </c>
      <c r="K588" s="107"/>
      <c r="L588" s="107">
        <v>314730.64776761638</v>
      </c>
      <c r="M588" s="107">
        <v>0</v>
      </c>
      <c r="N588" s="107">
        <v>0</v>
      </c>
      <c r="O588" s="107">
        <v>0</v>
      </c>
      <c r="P588" s="107">
        <v>0</v>
      </c>
      <c r="Q588" s="107">
        <v>0</v>
      </c>
      <c r="R588" s="107">
        <v>2241354.1289639203</v>
      </c>
      <c r="S588" s="108">
        <v>204049.12125809959</v>
      </c>
      <c r="T588" s="145">
        <v>384333.48993758194</v>
      </c>
      <c r="U588" s="23">
        <f t="shared" si="69"/>
        <v>6</v>
      </c>
    </row>
    <row r="589" spans="1:22" x14ac:dyDescent="0.25">
      <c r="A589" s="102">
        <f t="shared" si="68"/>
        <v>570</v>
      </c>
      <c r="B589" s="101">
        <f t="shared" si="67"/>
        <v>108</v>
      </c>
      <c r="C589" s="73" t="s">
        <v>51</v>
      </c>
      <c r="D589" s="120" t="s">
        <v>521</v>
      </c>
      <c r="E589" s="123">
        <f t="shared" si="65"/>
        <v>24475604.160000004</v>
      </c>
      <c r="F589" s="107"/>
      <c r="G589" s="107">
        <v>2569498.1666174689</v>
      </c>
      <c r="H589" s="107">
        <v>2781035.5982677904</v>
      </c>
      <c r="I589" s="107">
        <v>1702285.7458574688</v>
      </c>
      <c r="J589" s="107">
        <v>1236504.5566667134</v>
      </c>
      <c r="K589" s="107"/>
      <c r="L589" s="107"/>
      <c r="M589" s="107"/>
      <c r="N589" s="107"/>
      <c r="O589" s="107"/>
      <c r="P589" s="107">
        <v>6988483.2999323765</v>
      </c>
      <c r="Q589" s="107">
        <v>7647211.0565302186</v>
      </c>
      <c r="R589" s="107">
        <v>1005086.0352408147</v>
      </c>
      <c r="S589" s="108">
        <v>44175.978967199997</v>
      </c>
      <c r="T589" s="145">
        <v>501323.72191994853</v>
      </c>
      <c r="U589" s="23">
        <f t="shared" si="69"/>
        <v>6</v>
      </c>
    </row>
    <row r="590" spans="1:22" x14ac:dyDescent="0.25">
      <c r="A590" s="102">
        <f t="shared" si="68"/>
        <v>571</v>
      </c>
      <c r="B590" s="101">
        <f t="shared" si="67"/>
        <v>109</v>
      </c>
      <c r="C590" s="73" t="s">
        <v>51</v>
      </c>
      <c r="D590" s="120" t="s">
        <v>403</v>
      </c>
      <c r="E590" s="123">
        <f t="shared" si="65"/>
        <v>6100397.4727052627</v>
      </c>
      <c r="F590" s="107">
        <v>5687243.1579558281</v>
      </c>
      <c r="G590" s="107">
        <v>0</v>
      </c>
      <c r="H590" s="107">
        <v>0</v>
      </c>
      <c r="I590" s="107">
        <v>0</v>
      </c>
      <c r="J590" s="107">
        <v>0</v>
      </c>
      <c r="K590" s="107"/>
      <c r="L590" s="107">
        <v>282605.80883354222</v>
      </c>
      <c r="M590" s="107">
        <v>0</v>
      </c>
      <c r="N590" s="107">
        <v>0</v>
      </c>
      <c r="O590" s="107">
        <v>0</v>
      </c>
      <c r="P590" s="107">
        <v>0</v>
      </c>
      <c r="Q590" s="107">
        <v>0</v>
      </c>
      <c r="R590" s="107"/>
      <c r="S590" s="108"/>
      <c r="T590" s="145">
        <v>130548.50591589263</v>
      </c>
      <c r="U590" s="23">
        <f t="shared" si="69"/>
        <v>2</v>
      </c>
    </row>
    <row r="591" spans="1:22" x14ac:dyDescent="0.25">
      <c r="A591" s="102">
        <f t="shared" si="68"/>
        <v>572</v>
      </c>
      <c r="B591" s="101">
        <f t="shared" si="67"/>
        <v>110</v>
      </c>
      <c r="C591" s="73" t="s">
        <v>51</v>
      </c>
      <c r="D591" s="120" t="s">
        <v>522</v>
      </c>
      <c r="E591" s="123">
        <f t="shared" si="65"/>
        <v>18828006.782067001</v>
      </c>
      <c r="F591" s="107">
        <v>9020010.4696379993</v>
      </c>
      <c r="G591" s="107">
        <v>3231794.773788</v>
      </c>
      <c r="H591" s="107">
        <v>3412556.6672820002</v>
      </c>
      <c r="I591" s="107">
        <v>2178146.6737379995</v>
      </c>
      <c r="J591" s="107"/>
      <c r="K591" s="107"/>
      <c r="L591" s="107">
        <v>324068.03834999999</v>
      </c>
      <c r="M591" s="107">
        <v>0</v>
      </c>
      <c r="N591" s="107">
        <v>0</v>
      </c>
      <c r="O591" s="107">
        <v>0</v>
      </c>
      <c r="P591" s="107">
        <v>0</v>
      </c>
      <c r="Q591" s="107">
        <v>0</v>
      </c>
      <c r="R591" s="107">
        <v>239862.84749999997</v>
      </c>
      <c r="S591" s="107">
        <f>24000</f>
        <v>24000</v>
      </c>
      <c r="T591" s="145">
        <v>397567.31177100004</v>
      </c>
      <c r="U591" s="23">
        <f t="shared" si="69"/>
        <v>5</v>
      </c>
    </row>
    <row r="592" spans="1:22" x14ac:dyDescent="0.25">
      <c r="A592" s="102">
        <f t="shared" si="68"/>
        <v>573</v>
      </c>
      <c r="B592" s="101">
        <f t="shared" si="67"/>
        <v>111</v>
      </c>
      <c r="C592" s="73" t="s">
        <v>51</v>
      </c>
      <c r="D592" s="120" t="s">
        <v>406</v>
      </c>
      <c r="E592" s="123">
        <f t="shared" si="65"/>
        <v>20234536.945299998</v>
      </c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>
        <v>19801517.854670577</v>
      </c>
      <c r="Q592" s="107">
        <v>0</v>
      </c>
      <c r="R592" s="107"/>
      <c r="S592" s="107"/>
      <c r="T592" s="145">
        <v>433019.09062942001</v>
      </c>
      <c r="U592" s="23">
        <f t="shared" si="69"/>
        <v>1</v>
      </c>
    </row>
    <row r="593" spans="1:21" x14ac:dyDescent="0.25">
      <c r="A593" s="102">
        <f t="shared" si="68"/>
        <v>574</v>
      </c>
      <c r="B593" s="101">
        <f t="shared" si="67"/>
        <v>112</v>
      </c>
      <c r="C593" s="73" t="s">
        <v>51</v>
      </c>
      <c r="D593" s="120" t="s">
        <v>407</v>
      </c>
      <c r="E593" s="123">
        <f t="shared" si="65"/>
        <v>22993708.713272527</v>
      </c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>
        <v>19954433.900011268</v>
      </c>
      <c r="Q593" s="107">
        <v>0</v>
      </c>
      <c r="R593" s="107">
        <v>2368464.8514432525</v>
      </c>
      <c r="S593" s="107">
        <v>236255.40814432528</v>
      </c>
      <c r="T593" s="145">
        <v>434554.55367368192</v>
      </c>
      <c r="U593" s="128" t="s">
        <v>244</v>
      </c>
    </row>
    <row r="594" spans="1:21" x14ac:dyDescent="0.25">
      <c r="A594" s="102">
        <f t="shared" si="68"/>
        <v>575</v>
      </c>
      <c r="B594" s="101">
        <f t="shared" si="67"/>
        <v>113</v>
      </c>
      <c r="C594" s="73" t="s">
        <v>51</v>
      </c>
      <c r="D594" s="120" t="s">
        <v>466</v>
      </c>
      <c r="E594" s="123">
        <f t="shared" si="65"/>
        <v>4542546.6355299996</v>
      </c>
      <c r="F594" s="107">
        <v>0</v>
      </c>
      <c r="G594" s="107"/>
      <c r="H594" s="107">
        <v>4438837.1277801599</v>
      </c>
      <c r="I594" s="107"/>
      <c r="J594" s="107"/>
      <c r="K594" s="107"/>
      <c r="L594" s="107"/>
      <c r="M594" s="107">
        <v>0</v>
      </c>
      <c r="N594" s="107">
        <v>0</v>
      </c>
      <c r="O594" s="107">
        <v>0</v>
      </c>
      <c r="P594" s="107"/>
      <c r="Q594" s="107">
        <v>0</v>
      </c>
      <c r="R594" s="107"/>
      <c r="S594" s="108"/>
      <c r="T594" s="145">
        <v>103709.50774984001</v>
      </c>
      <c r="U594" s="23">
        <f t="shared" ref="U594:U625" si="70">COUNTIF(F594:Q594,"&gt;0")</f>
        <v>1</v>
      </c>
    </row>
    <row r="595" spans="1:21" x14ac:dyDescent="0.25">
      <c r="A595" s="102">
        <f t="shared" si="68"/>
        <v>576</v>
      </c>
      <c r="B595" s="101">
        <f t="shared" si="67"/>
        <v>114</v>
      </c>
      <c r="C595" s="73" t="s">
        <v>51</v>
      </c>
      <c r="D595" s="120" t="s">
        <v>408</v>
      </c>
      <c r="E595" s="123">
        <f t="shared" si="65"/>
        <v>25343583.591800001</v>
      </c>
      <c r="F595" s="107"/>
      <c r="G595" s="107"/>
      <c r="H595" s="107"/>
      <c r="I595" s="107"/>
      <c r="J595" s="107"/>
      <c r="K595" s="107"/>
      <c r="L595" s="107"/>
      <c r="M595" s="107">
        <v>0</v>
      </c>
      <c r="N595" s="107"/>
      <c r="O595" s="107">
        <v>0</v>
      </c>
      <c r="P595" s="107">
        <v>24801230.902935479</v>
      </c>
      <c r="Q595" s="107"/>
      <c r="R595" s="107"/>
      <c r="S595" s="108"/>
      <c r="T595" s="145">
        <v>542352.68886452005</v>
      </c>
      <c r="U595" s="23">
        <f t="shared" si="70"/>
        <v>1</v>
      </c>
    </row>
    <row r="596" spans="1:21" x14ac:dyDescent="0.25">
      <c r="A596" s="102">
        <f t="shared" si="68"/>
        <v>577</v>
      </c>
      <c r="B596" s="101">
        <f t="shared" si="67"/>
        <v>115</v>
      </c>
      <c r="C596" s="73" t="s">
        <v>51</v>
      </c>
      <c r="D596" s="120" t="s">
        <v>409</v>
      </c>
      <c r="E596" s="123">
        <f t="shared" si="65"/>
        <v>36759861.869206004</v>
      </c>
      <c r="F596" s="107"/>
      <c r="G596" s="107"/>
      <c r="H596" s="107"/>
      <c r="I596" s="107"/>
      <c r="J596" s="107"/>
      <c r="K596" s="107"/>
      <c r="L596" s="107"/>
      <c r="M596" s="107"/>
      <c r="N596" s="107"/>
      <c r="O596" s="107">
        <v>0</v>
      </c>
      <c r="P596" s="107">
        <v>35601534.275782861</v>
      </c>
      <c r="Q596" s="107"/>
      <c r="R596" s="107"/>
      <c r="S596" s="108"/>
      <c r="T596" s="145">
        <v>1158327.59342314</v>
      </c>
      <c r="U596" s="23">
        <f t="shared" si="70"/>
        <v>1</v>
      </c>
    </row>
    <row r="597" spans="1:21" x14ac:dyDescent="0.25">
      <c r="A597" s="102">
        <f t="shared" si="68"/>
        <v>578</v>
      </c>
      <c r="B597" s="101">
        <f t="shared" si="67"/>
        <v>116</v>
      </c>
      <c r="C597" s="73" t="s">
        <v>51</v>
      </c>
      <c r="D597" s="120" t="s">
        <v>523</v>
      </c>
      <c r="E597" s="123">
        <f t="shared" si="65"/>
        <v>51520579.943774581</v>
      </c>
      <c r="F597" s="107">
        <v>10832940.95979899</v>
      </c>
      <c r="G597" s="107">
        <v>0</v>
      </c>
      <c r="H597" s="107">
        <v>4033071.5218924792</v>
      </c>
      <c r="I597" s="107">
        <v>0</v>
      </c>
      <c r="J597" s="107">
        <v>0</v>
      </c>
      <c r="K597" s="107"/>
      <c r="L597" s="107">
        <v>415667.98664415837</v>
      </c>
      <c r="M597" s="107">
        <v>0</v>
      </c>
      <c r="N597" s="107">
        <v>19804228.847171031</v>
      </c>
      <c r="O597" s="107">
        <v>0</v>
      </c>
      <c r="P597" s="107">
        <v>10282453.061145633</v>
      </c>
      <c r="Q597" s="107">
        <v>0</v>
      </c>
      <c r="R597" s="107">
        <v>4644897.5689717317</v>
      </c>
      <c r="S597" s="108">
        <v>515205.79943774588</v>
      </c>
      <c r="T597" s="145">
        <v>992114.19871281344</v>
      </c>
      <c r="U597" s="23">
        <f t="shared" si="70"/>
        <v>5</v>
      </c>
    </row>
    <row r="598" spans="1:21" x14ac:dyDescent="0.25">
      <c r="A598" s="102">
        <f t="shared" si="68"/>
        <v>579</v>
      </c>
      <c r="B598" s="101">
        <f t="shared" si="67"/>
        <v>117</v>
      </c>
      <c r="C598" s="73" t="s">
        <v>51</v>
      </c>
      <c r="D598" s="120" t="s">
        <v>524</v>
      </c>
      <c r="E598" s="123">
        <f t="shared" si="65"/>
        <v>10774080</v>
      </c>
      <c r="F598" s="107"/>
      <c r="G598" s="107"/>
      <c r="H598" s="107"/>
      <c r="I598" s="107"/>
      <c r="J598" s="107"/>
      <c r="K598" s="107"/>
      <c r="L598" s="107"/>
      <c r="M598" s="107">
        <f>3*3591360</f>
        <v>10774080</v>
      </c>
      <c r="N598" s="107"/>
      <c r="O598" s="107"/>
      <c r="P598" s="107"/>
      <c r="Q598" s="107"/>
      <c r="R598" s="107"/>
      <c r="S598" s="108"/>
      <c r="T598" s="145"/>
      <c r="U598" s="23">
        <f t="shared" si="70"/>
        <v>1</v>
      </c>
    </row>
    <row r="599" spans="1:21" x14ac:dyDescent="0.25">
      <c r="A599" s="102">
        <f t="shared" si="68"/>
        <v>580</v>
      </c>
      <c r="B599" s="101">
        <f t="shared" si="67"/>
        <v>118</v>
      </c>
      <c r="C599" s="73" t="s">
        <v>51</v>
      </c>
      <c r="D599" s="120" t="s">
        <v>411</v>
      </c>
      <c r="E599" s="123">
        <f t="shared" ref="E599:E662" si="71">SUBTOTAL(9,F599:T599)</f>
        <v>4577622.6536000008</v>
      </c>
      <c r="F599" s="107">
        <v>0</v>
      </c>
      <c r="G599" s="107">
        <v>0</v>
      </c>
      <c r="H599" s="107">
        <v>4479661.5288129607</v>
      </c>
      <c r="I599" s="107">
        <v>0</v>
      </c>
      <c r="J599" s="107">
        <v>0</v>
      </c>
      <c r="K599" s="107"/>
      <c r="L599" s="107"/>
      <c r="M599" s="107">
        <v>0</v>
      </c>
      <c r="N599" s="107"/>
      <c r="O599" s="107"/>
      <c r="P599" s="107"/>
      <c r="Q599" s="107">
        <v>0</v>
      </c>
      <c r="R599" s="107"/>
      <c r="S599" s="108"/>
      <c r="T599" s="145">
        <v>97961.124787040011</v>
      </c>
      <c r="U599" s="23">
        <f t="shared" si="70"/>
        <v>1</v>
      </c>
    </row>
    <row r="600" spans="1:21" x14ac:dyDescent="0.25">
      <c r="A600" s="102">
        <f t="shared" si="68"/>
        <v>581</v>
      </c>
      <c r="B600" s="101">
        <f t="shared" si="67"/>
        <v>119</v>
      </c>
      <c r="C600" s="73" t="s">
        <v>51</v>
      </c>
      <c r="D600" s="120" t="s">
        <v>525</v>
      </c>
      <c r="E600" s="123">
        <f t="shared" si="71"/>
        <v>3562517.4807000002</v>
      </c>
      <c r="F600" s="107">
        <v>0</v>
      </c>
      <c r="G600" s="107">
        <v>0</v>
      </c>
      <c r="H600" s="107">
        <v>3486279.6066130204</v>
      </c>
      <c r="I600" s="107">
        <v>0</v>
      </c>
      <c r="J600" s="107">
        <v>0</v>
      </c>
      <c r="K600" s="107"/>
      <c r="L600" s="107"/>
      <c r="M600" s="107">
        <v>0</v>
      </c>
      <c r="N600" s="107">
        <v>0</v>
      </c>
      <c r="O600" s="107">
        <v>0</v>
      </c>
      <c r="P600" s="107"/>
      <c r="Q600" s="107">
        <v>0</v>
      </c>
      <c r="R600" s="107"/>
      <c r="S600" s="108"/>
      <c r="T600" s="145">
        <v>76237.874086980009</v>
      </c>
      <c r="U600" s="23">
        <f t="shared" si="70"/>
        <v>1</v>
      </c>
    </row>
    <row r="601" spans="1:21" x14ac:dyDescent="0.25">
      <c r="A601" s="102">
        <f t="shared" si="68"/>
        <v>582</v>
      </c>
      <c r="B601" s="101">
        <f t="shared" si="67"/>
        <v>120</v>
      </c>
      <c r="C601" s="73" t="s">
        <v>51</v>
      </c>
      <c r="D601" s="120" t="s">
        <v>526</v>
      </c>
      <c r="E601" s="123">
        <f t="shared" si="71"/>
        <v>2323481.64</v>
      </c>
      <c r="F601" s="107">
        <v>0</v>
      </c>
      <c r="G601" s="107">
        <v>0</v>
      </c>
      <c r="H601" s="107">
        <v>0</v>
      </c>
      <c r="I601" s="107">
        <v>0</v>
      </c>
      <c r="J601" s="107">
        <v>2156118.2507340005</v>
      </c>
      <c r="K601" s="107"/>
      <c r="L601" s="107"/>
      <c r="M601" s="107">
        <v>0</v>
      </c>
      <c r="N601" s="107">
        <v>0</v>
      </c>
      <c r="O601" s="107">
        <v>0</v>
      </c>
      <c r="P601" s="107">
        <v>0</v>
      </c>
      <c r="Q601" s="107">
        <v>0</v>
      </c>
      <c r="R601" s="107">
        <v>114379.29999999999</v>
      </c>
      <c r="S601" s="107">
        <v>5834.15</v>
      </c>
      <c r="T601" s="145">
        <v>47149.939266000009</v>
      </c>
      <c r="U601" s="23">
        <f t="shared" si="70"/>
        <v>1</v>
      </c>
    </row>
    <row r="602" spans="1:21" x14ac:dyDescent="0.25">
      <c r="A602" s="102">
        <f t="shared" si="68"/>
        <v>583</v>
      </c>
      <c r="B602" s="101">
        <f t="shared" si="67"/>
        <v>121</v>
      </c>
      <c r="C602" s="73" t="s">
        <v>51</v>
      </c>
      <c r="D602" s="120" t="s">
        <v>527</v>
      </c>
      <c r="E602" s="123">
        <f t="shared" si="71"/>
        <v>1630698.28</v>
      </c>
      <c r="F602" s="107">
        <v>0</v>
      </c>
      <c r="G602" s="107">
        <v>0</v>
      </c>
      <c r="H602" s="107">
        <v>0</v>
      </c>
      <c r="I602" s="107">
        <v>0</v>
      </c>
      <c r="J602" s="107">
        <v>1460685.5846520001</v>
      </c>
      <c r="K602" s="107"/>
      <c r="L602" s="107"/>
      <c r="M602" s="107">
        <v>0</v>
      </c>
      <c r="N602" s="107">
        <v>0</v>
      </c>
      <c r="O602" s="107">
        <v>0</v>
      </c>
      <c r="P602" s="107">
        <v>0</v>
      </c>
      <c r="Q602" s="107">
        <v>0</v>
      </c>
      <c r="R602" s="107">
        <v>131131.96</v>
      </c>
      <c r="S602" s="107">
        <v>6938.5</v>
      </c>
      <c r="T602" s="145">
        <v>31942.235348000006</v>
      </c>
      <c r="U602" s="23">
        <f t="shared" si="70"/>
        <v>1</v>
      </c>
    </row>
    <row r="603" spans="1:21" x14ac:dyDescent="0.25">
      <c r="A603" s="102">
        <f t="shared" si="68"/>
        <v>584</v>
      </c>
      <c r="B603" s="101">
        <f t="shared" si="67"/>
        <v>122</v>
      </c>
      <c r="C603" s="73" t="s">
        <v>51</v>
      </c>
      <c r="D603" s="120" t="s">
        <v>237</v>
      </c>
      <c r="E603" s="123">
        <f t="shared" si="71"/>
        <v>13363743.800941201</v>
      </c>
      <c r="F603" s="107"/>
      <c r="G603" s="107"/>
      <c r="H603" s="107">
        <v>7093798.1322179995</v>
      </c>
      <c r="I603" s="107">
        <v>5581283.0731980009</v>
      </c>
      <c r="J603" s="107"/>
      <c r="K603" s="107"/>
      <c r="L603" s="107"/>
      <c r="M603" s="107">
        <v>0</v>
      </c>
      <c r="N603" s="107">
        <v>0</v>
      </c>
      <c r="O603" s="107">
        <v>0</v>
      </c>
      <c r="P603" s="107">
        <v>0</v>
      </c>
      <c r="Q603" s="107">
        <v>0</v>
      </c>
      <c r="R603" s="107">
        <v>128556.376</v>
      </c>
      <c r="S603" s="108">
        <v>23378.916000000001</v>
      </c>
      <c r="T603" s="145">
        <v>536727.3035252</v>
      </c>
      <c r="U603" s="23">
        <f t="shared" si="70"/>
        <v>2</v>
      </c>
    </row>
    <row r="604" spans="1:21" x14ac:dyDescent="0.25">
      <c r="A604" s="102">
        <f t="shared" si="68"/>
        <v>585</v>
      </c>
      <c r="B604" s="101">
        <f t="shared" si="67"/>
        <v>123</v>
      </c>
      <c r="C604" s="73" t="s">
        <v>51</v>
      </c>
      <c r="D604" s="120" t="s">
        <v>217</v>
      </c>
      <c r="E604" s="123">
        <f t="shared" si="71"/>
        <v>2653548.6528289546</v>
      </c>
      <c r="F604" s="107">
        <v>0</v>
      </c>
      <c r="G604" s="107">
        <v>1379299.4009521424</v>
      </c>
      <c r="H604" s="107">
        <v>0</v>
      </c>
      <c r="I604" s="107">
        <v>923467.08456419234</v>
      </c>
      <c r="J604" s="107"/>
      <c r="K604" s="107"/>
      <c r="L604" s="107"/>
      <c r="M604" s="107">
        <v>0</v>
      </c>
      <c r="N604" s="107">
        <v>0</v>
      </c>
      <c r="O604" s="107">
        <v>0</v>
      </c>
      <c r="P604" s="107">
        <v>0</v>
      </c>
      <c r="Q604" s="107">
        <v>0</v>
      </c>
      <c r="R604" s="107">
        <v>279113.33420000004</v>
      </c>
      <c r="S604" s="107">
        <f>24896.3825</f>
        <v>24896.3825</v>
      </c>
      <c r="T604" s="145">
        <v>46772.450612620007</v>
      </c>
      <c r="U604" s="23">
        <f t="shared" si="70"/>
        <v>2</v>
      </c>
    </row>
    <row r="605" spans="1:21" x14ac:dyDescent="0.25">
      <c r="A605" s="102">
        <f t="shared" si="68"/>
        <v>586</v>
      </c>
      <c r="B605" s="101">
        <f t="shared" si="67"/>
        <v>124</v>
      </c>
      <c r="C605" s="73" t="s">
        <v>51</v>
      </c>
      <c r="D605" s="120" t="s">
        <v>528</v>
      </c>
      <c r="E605" s="123">
        <f t="shared" si="71"/>
        <v>10469460.771</v>
      </c>
      <c r="F605" s="107">
        <v>0</v>
      </c>
      <c r="G605" s="107">
        <v>0</v>
      </c>
      <c r="H605" s="107">
        <v>0</v>
      </c>
      <c r="I605" s="107">
        <v>0</v>
      </c>
      <c r="J605" s="107">
        <v>0</v>
      </c>
      <c r="K605" s="107"/>
      <c r="L605" s="107"/>
      <c r="M605" s="107">
        <v>0</v>
      </c>
      <c r="N605" s="107">
        <v>10245414.310500599</v>
      </c>
      <c r="O605" s="107">
        <v>0</v>
      </c>
      <c r="P605" s="107">
        <v>0</v>
      </c>
      <c r="Q605" s="107">
        <v>0</v>
      </c>
      <c r="R605" s="107"/>
      <c r="S605" s="108"/>
      <c r="T605" s="145">
        <v>224046.46049940001</v>
      </c>
      <c r="U605" s="23">
        <f t="shared" si="70"/>
        <v>1</v>
      </c>
    </row>
    <row r="606" spans="1:21" x14ac:dyDescent="0.25">
      <c r="A606" s="102">
        <f t="shared" si="68"/>
        <v>587</v>
      </c>
      <c r="B606" s="101">
        <f t="shared" si="67"/>
        <v>125</v>
      </c>
      <c r="C606" s="73" t="s">
        <v>51</v>
      </c>
      <c r="D606" s="120" t="s">
        <v>417</v>
      </c>
      <c r="E606" s="123">
        <f t="shared" si="71"/>
        <v>5232438.4238859992</v>
      </c>
      <c r="F606" s="107">
        <v>0</v>
      </c>
      <c r="G606" s="107">
        <v>0</v>
      </c>
      <c r="H606" s="107">
        <v>5108867.6053762194</v>
      </c>
      <c r="I606" s="107">
        <v>0</v>
      </c>
      <c r="J606" s="107"/>
      <c r="K606" s="107"/>
      <c r="L606" s="107"/>
      <c r="M606" s="107">
        <v>0</v>
      </c>
      <c r="N606" s="107">
        <v>0</v>
      </c>
      <c r="O606" s="107">
        <v>0</v>
      </c>
      <c r="P606" s="107">
        <v>0</v>
      </c>
      <c r="Q606" s="107">
        <v>0</v>
      </c>
      <c r="R606" s="107"/>
      <c r="S606" s="108"/>
      <c r="T606" s="145">
        <v>123570.81850978</v>
      </c>
      <c r="U606" s="23">
        <f t="shared" si="70"/>
        <v>1</v>
      </c>
    </row>
    <row r="607" spans="1:21" x14ac:dyDescent="0.25">
      <c r="A607" s="102">
        <f t="shared" si="68"/>
        <v>588</v>
      </c>
      <c r="B607" s="101">
        <f t="shared" si="67"/>
        <v>126</v>
      </c>
      <c r="C607" s="73" t="s">
        <v>51</v>
      </c>
      <c r="D607" s="120" t="s">
        <v>529</v>
      </c>
      <c r="E607" s="123">
        <f t="shared" si="71"/>
        <v>33447816.559111003</v>
      </c>
      <c r="F607" s="107">
        <v>12649079.980151162</v>
      </c>
      <c r="G607" s="107">
        <v>6869704.5973592401</v>
      </c>
      <c r="H607" s="107">
        <v>8171118.1097511007</v>
      </c>
      <c r="I607" s="107">
        <v>3937651.5042933603</v>
      </c>
      <c r="J607" s="107">
        <v>0</v>
      </c>
      <c r="K607" s="107"/>
      <c r="L607" s="107">
        <v>952026.39550956013</v>
      </c>
      <c r="M607" s="107">
        <v>0</v>
      </c>
      <c r="N607" s="107"/>
      <c r="O607" s="107">
        <v>0</v>
      </c>
      <c r="P607" s="107">
        <v>0</v>
      </c>
      <c r="Q607" s="107">
        <v>0</v>
      </c>
      <c r="R607" s="107"/>
      <c r="S607" s="108"/>
      <c r="T607" s="145">
        <v>868235.97204658017</v>
      </c>
      <c r="U607" s="23">
        <f t="shared" si="70"/>
        <v>5</v>
      </c>
    </row>
    <row r="608" spans="1:21" x14ac:dyDescent="0.25">
      <c r="A608" s="102">
        <f t="shared" si="68"/>
        <v>589</v>
      </c>
      <c r="B608" s="101">
        <f t="shared" si="67"/>
        <v>127</v>
      </c>
      <c r="C608" s="73" t="s">
        <v>51</v>
      </c>
      <c r="D608" s="120" t="s">
        <v>530</v>
      </c>
      <c r="E608" s="123">
        <f t="shared" si="71"/>
        <v>18039857.71118984</v>
      </c>
      <c r="F608" s="107">
        <v>0</v>
      </c>
      <c r="G608" s="107">
        <v>0</v>
      </c>
      <c r="H608" s="107">
        <v>0</v>
      </c>
      <c r="I608" s="107">
        <v>0</v>
      </c>
      <c r="J608" s="107">
        <v>1790350.8166139401</v>
      </c>
      <c r="K608" s="107"/>
      <c r="L608" s="107"/>
      <c r="M608" s="107">
        <v>0</v>
      </c>
      <c r="N608" s="107">
        <v>0</v>
      </c>
      <c r="O608" s="107">
        <v>0</v>
      </c>
      <c r="P608" s="107">
        <v>0</v>
      </c>
      <c r="Q608" s="107">
        <v>13564306.146929998</v>
      </c>
      <c r="R608" s="107">
        <v>2208962.0269999998</v>
      </c>
      <c r="S608" s="107">
        <v>167867.1545</v>
      </c>
      <c r="T608" s="145">
        <v>308371.56614590005</v>
      </c>
      <c r="U608" s="23">
        <f t="shared" si="70"/>
        <v>2</v>
      </c>
    </row>
    <row r="609" spans="1:21" x14ac:dyDescent="0.25">
      <c r="A609" s="102">
        <f t="shared" si="68"/>
        <v>590</v>
      </c>
      <c r="B609" s="101">
        <f t="shared" si="67"/>
        <v>128</v>
      </c>
      <c r="C609" s="73" t="s">
        <v>51</v>
      </c>
      <c r="D609" s="120" t="s">
        <v>531</v>
      </c>
      <c r="E609" s="123">
        <f t="shared" si="71"/>
        <v>3591360</v>
      </c>
      <c r="F609" s="107"/>
      <c r="G609" s="107"/>
      <c r="H609" s="107"/>
      <c r="I609" s="107"/>
      <c r="J609" s="107"/>
      <c r="K609" s="107"/>
      <c r="L609" s="107"/>
      <c r="M609" s="107">
        <v>3388344.6460698778</v>
      </c>
      <c r="N609" s="107"/>
      <c r="O609" s="107"/>
      <c r="P609" s="107"/>
      <c r="Q609" s="107"/>
      <c r="R609" s="107">
        <v>104919.11907839999</v>
      </c>
      <c r="S609" s="108">
        <v>24000</v>
      </c>
      <c r="T609" s="145">
        <v>74096.234851722242</v>
      </c>
      <c r="U609" s="23">
        <f t="shared" si="70"/>
        <v>1</v>
      </c>
    </row>
    <row r="610" spans="1:21" x14ac:dyDescent="0.25">
      <c r="A610" s="102">
        <f t="shared" si="68"/>
        <v>591</v>
      </c>
      <c r="B610" s="101">
        <f t="shared" ref="B610:B673" si="72">+B609+1</f>
        <v>129</v>
      </c>
      <c r="C610" s="73" t="s">
        <v>51</v>
      </c>
      <c r="D610" s="120" t="s">
        <v>532</v>
      </c>
      <c r="E610" s="123">
        <f t="shared" si="71"/>
        <v>1761672.902208</v>
      </c>
      <c r="F610" s="107"/>
      <c r="G610" s="107"/>
      <c r="H610" s="107"/>
      <c r="I610" s="107"/>
      <c r="J610" s="107">
        <v>1348414.7232127488</v>
      </c>
      <c r="K610" s="107"/>
      <c r="L610" s="107"/>
      <c r="M610" s="107"/>
      <c r="N610" s="107"/>
      <c r="O610" s="107"/>
      <c r="P610" s="107"/>
      <c r="Q610" s="107"/>
      <c r="R610" s="107">
        <v>383771.07999999996</v>
      </c>
      <c r="S610" s="108"/>
      <c r="T610" s="145">
        <v>29487.098995251199</v>
      </c>
      <c r="U610" s="23">
        <f t="shared" si="70"/>
        <v>1</v>
      </c>
    </row>
    <row r="611" spans="1:21" x14ac:dyDescent="0.25">
      <c r="A611" s="102">
        <f t="shared" ref="A611:A674" si="73">+A610+1</f>
        <v>592</v>
      </c>
      <c r="B611" s="101">
        <f t="shared" si="72"/>
        <v>130</v>
      </c>
      <c r="C611" s="73" t="s">
        <v>51</v>
      </c>
      <c r="D611" s="120" t="s">
        <v>533</v>
      </c>
      <c r="E611" s="123">
        <f t="shared" si="71"/>
        <v>1715973.7068479999</v>
      </c>
      <c r="F611" s="107"/>
      <c r="G611" s="107"/>
      <c r="H611" s="107"/>
      <c r="I611" s="107"/>
      <c r="J611" s="107">
        <v>1304412.8692794528</v>
      </c>
      <c r="K611" s="107"/>
      <c r="L611" s="107"/>
      <c r="M611" s="107"/>
      <c r="N611" s="107"/>
      <c r="O611" s="107"/>
      <c r="P611" s="107"/>
      <c r="Q611" s="107"/>
      <c r="R611" s="107">
        <v>383035.97</v>
      </c>
      <c r="S611" s="108"/>
      <c r="T611" s="145">
        <v>28524.867568547194</v>
      </c>
      <c r="U611" s="23">
        <f t="shared" si="70"/>
        <v>1</v>
      </c>
    </row>
    <row r="612" spans="1:21" x14ac:dyDescent="0.25">
      <c r="A612" s="102">
        <f t="shared" si="73"/>
        <v>593</v>
      </c>
      <c r="B612" s="101">
        <f t="shared" si="72"/>
        <v>131</v>
      </c>
      <c r="C612" s="73" t="s">
        <v>51</v>
      </c>
      <c r="D612" s="120" t="s">
        <v>534</v>
      </c>
      <c r="E612" s="123">
        <f t="shared" si="71"/>
        <v>1736233.9121119999</v>
      </c>
      <c r="F612" s="107"/>
      <c r="G612" s="107"/>
      <c r="H612" s="107"/>
      <c r="I612" s="107"/>
      <c r="J612" s="107">
        <v>1323565.7498368032</v>
      </c>
      <c r="K612" s="107"/>
      <c r="L612" s="107"/>
      <c r="M612" s="107"/>
      <c r="N612" s="107"/>
      <c r="O612" s="107"/>
      <c r="P612" s="107"/>
      <c r="Q612" s="107"/>
      <c r="R612" s="107">
        <v>383724.45999999996</v>
      </c>
      <c r="S612" s="108"/>
      <c r="T612" s="145">
        <v>28943.702275196803</v>
      </c>
      <c r="U612" s="23">
        <f t="shared" si="70"/>
        <v>1</v>
      </c>
    </row>
    <row r="613" spans="1:21" x14ac:dyDescent="0.25">
      <c r="A613" s="102">
        <f t="shared" si="73"/>
        <v>594</v>
      </c>
      <c r="B613" s="101">
        <f t="shared" si="72"/>
        <v>132</v>
      </c>
      <c r="C613" s="73" t="s">
        <v>51</v>
      </c>
      <c r="D613" s="120" t="s">
        <v>475</v>
      </c>
      <c r="E613" s="123">
        <f t="shared" si="71"/>
        <v>11659299.253600001</v>
      </c>
      <c r="F613" s="107"/>
      <c r="G613" s="107">
        <v>0</v>
      </c>
      <c r="H613" s="107">
        <v>3214445.52658614</v>
      </c>
      <c r="I613" s="107">
        <v>0</v>
      </c>
      <c r="J613" s="107">
        <v>0</v>
      </c>
      <c r="K613" s="107"/>
      <c r="L613" s="107"/>
      <c r="M613" s="107">
        <v>0</v>
      </c>
      <c r="N613" s="107">
        <v>0</v>
      </c>
      <c r="O613" s="107">
        <v>0</v>
      </c>
      <c r="P613" s="107">
        <v>8195344.7229868202</v>
      </c>
      <c r="Q613" s="107">
        <v>0</v>
      </c>
      <c r="R613" s="107"/>
      <c r="S613" s="108"/>
      <c r="T613" s="145">
        <v>249509.00402704001</v>
      </c>
      <c r="U613" s="23">
        <f t="shared" si="70"/>
        <v>2</v>
      </c>
    </row>
    <row r="614" spans="1:21" x14ac:dyDescent="0.25">
      <c r="A614" s="102">
        <f t="shared" si="73"/>
        <v>595</v>
      </c>
      <c r="B614" s="101">
        <f t="shared" si="72"/>
        <v>133</v>
      </c>
      <c r="C614" s="73" t="s">
        <v>51</v>
      </c>
      <c r="D614" s="120" t="s">
        <v>535</v>
      </c>
      <c r="E614" s="123">
        <f t="shared" si="71"/>
        <v>2721879.4471506448</v>
      </c>
      <c r="F614" s="107">
        <v>0</v>
      </c>
      <c r="G614" s="107">
        <v>2393856.5125572649</v>
      </c>
      <c r="H614" s="107">
        <v>0</v>
      </c>
      <c r="I614" s="107">
        <v>0</v>
      </c>
      <c r="J614" s="107"/>
      <c r="K614" s="107"/>
      <c r="L614" s="107"/>
      <c r="M614" s="107">
        <v>0</v>
      </c>
      <c r="N614" s="107">
        <v>0</v>
      </c>
      <c r="O614" s="107">
        <v>0</v>
      </c>
      <c r="P614" s="107">
        <v>0</v>
      </c>
      <c r="Q614" s="107">
        <v>0</v>
      </c>
      <c r="R614" s="107">
        <v>254190.70299999998</v>
      </c>
      <c r="S614" s="107">
        <f>25419.0703</f>
        <v>25419.070299999999</v>
      </c>
      <c r="T614" s="145">
        <v>48413.161293379999</v>
      </c>
      <c r="U614" s="23">
        <f t="shared" si="70"/>
        <v>1</v>
      </c>
    </row>
    <row r="615" spans="1:21" x14ac:dyDescent="0.25">
      <c r="A615" s="102">
        <f t="shared" si="73"/>
        <v>596</v>
      </c>
      <c r="B615" s="101">
        <f t="shared" si="72"/>
        <v>134</v>
      </c>
      <c r="C615" s="73" t="s">
        <v>51</v>
      </c>
      <c r="D615" s="120" t="s">
        <v>238</v>
      </c>
      <c r="E615" s="123">
        <f t="shared" si="71"/>
        <v>26446557.673895352</v>
      </c>
      <c r="F615" s="107">
        <v>4525107.225966936</v>
      </c>
      <c r="G615" s="107">
        <v>2796445.9111580672</v>
      </c>
      <c r="H615" s="107">
        <v>1312542.3519563093</v>
      </c>
      <c r="I615" s="107">
        <v>1144056.1189434747</v>
      </c>
      <c r="J615" s="107"/>
      <c r="K615" s="107"/>
      <c r="L615" s="107">
        <v>433409.41392000002</v>
      </c>
      <c r="M615" s="107">
        <v>0</v>
      </c>
      <c r="N615" s="107">
        <v>13331310.272431584</v>
      </c>
      <c r="O615" s="107">
        <v>0</v>
      </c>
      <c r="P615" s="107">
        <v>0</v>
      </c>
      <c r="Q615" s="107">
        <v>0</v>
      </c>
      <c r="R615" s="107">
        <v>2193617.8228000002</v>
      </c>
      <c r="S615" s="107">
        <v>242740.96649999998</v>
      </c>
      <c r="T615" s="145">
        <v>467327.59021898004</v>
      </c>
      <c r="U615" s="23">
        <f t="shared" si="70"/>
        <v>6</v>
      </c>
    </row>
    <row r="616" spans="1:21" x14ac:dyDescent="0.25">
      <c r="A616" s="102">
        <f t="shared" si="73"/>
        <v>597</v>
      </c>
      <c r="B616" s="101">
        <f t="shared" si="72"/>
        <v>135</v>
      </c>
      <c r="C616" s="73" t="s">
        <v>51</v>
      </c>
      <c r="D616" s="120" t="s">
        <v>536</v>
      </c>
      <c r="E616" s="123">
        <f t="shared" si="71"/>
        <v>9689035.8902000003</v>
      </c>
      <c r="F616" s="107">
        <v>0</v>
      </c>
      <c r="G616" s="107">
        <v>0</v>
      </c>
      <c r="H616" s="107">
        <v>0</v>
      </c>
      <c r="I616" s="107">
        <v>0</v>
      </c>
      <c r="J616" s="107">
        <v>0</v>
      </c>
      <c r="K616" s="107"/>
      <c r="L616" s="107"/>
      <c r="M616" s="107">
        <v>0</v>
      </c>
      <c r="N616" s="107">
        <v>0</v>
      </c>
      <c r="O616" s="107">
        <v>0</v>
      </c>
      <c r="P616" s="107">
        <v>0</v>
      </c>
      <c r="Q616" s="107">
        <v>9481690.5221497193</v>
      </c>
      <c r="R616" s="107"/>
      <c r="S616" s="108"/>
      <c r="T616" s="145">
        <v>207345.36805028003</v>
      </c>
      <c r="U616" s="23">
        <f t="shared" si="70"/>
        <v>1</v>
      </c>
    </row>
    <row r="617" spans="1:21" x14ac:dyDescent="0.25">
      <c r="A617" s="102">
        <f t="shared" si="73"/>
        <v>598</v>
      </c>
      <c r="B617" s="101">
        <f t="shared" si="72"/>
        <v>136</v>
      </c>
      <c r="C617" s="73" t="s">
        <v>51</v>
      </c>
      <c r="D617" s="120" t="s">
        <v>537</v>
      </c>
      <c r="E617" s="123">
        <f t="shared" si="71"/>
        <v>25809972.036199998</v>
      </c>
      <c r="F617" s="107"/>
      <c r="G617" s="107"/>
      <c r="H617" s="107"/>
      <c r="I617" s="107"/>
      <c r="J617" s="107"/>
      <c r="K617" s="107"/>
      <c r="L617" s="107"/>
      <c r="M617" s="107"/>
      <c r="N617" s="107"/>
      <c r="O617" s="107">
        <v>0</v>
      </c>
      <c r="P617" s="107">
        <v>25257638.634625319</v>
      </c>
      <c r="Q617" s="107"/>
      <c r="R617" s="107"/>
      <c r="S617" s="108"/>
      <c r="T617" s="145">
        <v>552333.40157468</v>
      </c>
      <c r="U617" s="23">
        <f t="shared" si="70"/>
        <v>1</v>
      </c>
    </row>
    <row r="618" spans="1:21" x14ac:dyDescent="0.25">
      <c r="A618" s="102">
        <f t="shared" si="73"/>
        <v>599</v>
      </c>
      <c r="B618" s="101">
        <f t="shared" si="72"/>
        <v>137</v>
      </c>
      <c r="C618" s="73" t="s">
        <v>51</v>
      </c>
      <c r="D618" s="120" t="s">
        <v>538</v>
      </c>
      <c r="E618" s="123">
        <f t="shared" si="71"/>
        <v>10774080</v>
      </c>
      <c r="F618" s="107"/>
      <c r="G618" s="107"/>
      <c r="H618" s="107"/>
      <c r="I618" s="107"/>
      <c r="J618" s="107"/>
      <c r="K618" s="107"/>
      <c r="L618" s="107"/>
      <c r="M618" s="107">
        <v>10384981.714635869</v>
      </c>
      <c r="N618" s="107"/>
      <c r="O618" s="107"/>
      <c r="P618" s="107"/>
      <c r="Q618" s="107"/>
      <c r="R618" s="107">
        <v>137999.768408064</v>
      </c>
      <c r="S618" s="108">
        <v>24000</v>
      </c>
      <c r="T618" s="145">
        <v>227098.51695606747</v>
      </c>
      <c r="U618" s="23">
        <f t="shared" si="70"/>
        <v>1</v>
      </c>
    </row>
    <row r="619" spans="1:21" x14ac:dyDescent="0.25">
      <c r="A619" s="102">
        <f t="shared" si="73"/>
        <v>600</v>
      </c>
      <c r="B619" s="101">
        <f t="shared" si="72"/>
        <v>138</v>
      </c>
      <c r="C619" s="73" t="s">
        <v>51</v>
      </c>
      <c r="D619" s="120" t="s">
        <v>539</v>
      </c>
      <c r="E619" s="123">
        <f t="shared" si="71"/>
        <v>14412979.637864092</v>
      </c>
      <c r="F619" s="107"/>
      <c r="G619" s="107"/>
      <c r="H619" s="107"/>
      <c r="I619" s="107"/>
      <c r="J619" s="107"/>
      <c r="K619" s="107"/>
      <c r="L619" s="107"/>
      <c r="M619" s="107">
        <v>13862649.6</v>
      </c>
      <c r="N619" s="107"/>
      <c r="O619" s="107"/>
      <c r="P619" s="107"/>
      <c r="Q619" s="107"/>
      <c r="R619" s="107">
        <v>224221.56331912189</v>
      </c>
      <c r="S619" s="108">
        <v>24000</v>
      </c>
      <c r="T619" s="145">
        <v>302108.47454497078</v>
      </c>
      <c r="U619" s="23">
        <f t="shared" si="70"/>
        <v>1</v>
      </c>
    </row>
    <row r="620" spans="1:21" x14ac:dyDescent="0.25">
      <c r="A620" s="102">
        <f t="shared" si="73"/>
        <v>601</v>
      </c>
      <c r="B620" s="101">
        <f t="shared" si="72"/>
        <v>139</v>
      </c>
      <c r="C620" s="73" t="s">
        <v>51</v>
      </c>
      <c r="D620" s="120" t="s">
        <v>476</v>
      </c>
      <c r="E620" s="123">
        <f t="shared" si="71"/>
        <v>50111322.820000008</v>
      </c>
      <c r="F620" s="107">
        <v>7207971.2584861796</v>
      </c>
      <c r="G620" s="107">
        <v>4168566.8282411997</v>
      </c>
      <c r="H620" s="107">
        <v>4406483.7908326201</v>
      </c>
      <c r="I620" s="107">
        <v>3359981.3480309998</v>
      </c>
      <c r="J620" s="107">
        <v>1342243.77142212</v>
      </c>
      <c r="K620" s="107"/>
      <c r="L620" s="107">
        <v>358162.19323499996</v>
      </c>
      <c r="M620" s="107">
        <v>0</v>
      </c>
      <c r="N620" s="107">
        <v>12831286.273936201</v>
      </c>
      <c r="O620" s="107">
        <v>0</v>
      </c>
      <c r="P620" s="107"/>
      <c r="Q620" s="107">
        <v>9797576.0184224993</v>
      </c>
      <c r="R620" s="107">
        <v>5187287.5781000005</v>
      </c>
      <c r="S620" s="108">
        <v>501113.22820000001</v>
      </c>
      <c r="T620" s="145">
        <v>950650.53109317983</v>
      </c>
      <c r="U620" s="23">
        <f t="shared" si="70"/>
        <v>8</v>
      </c>
    </row>
    <row r="621" spans="1:21" x14ac:dyDescent="0.25">
      <c r="A621" s="102">
        <f t="shared" si="73"/>
        <v>602</v>
      </c>
      <c r="B621" s="101">
        <f t="shared" si="72"/>
        <v>140</v>
      </c>
      <c r="C621" s="73" t="s">
        <v>51</v>
      </c>
      <c r="D621" s="120" t="s">
        <v>218</v>
      </c>
      <c r="E621" s="123">
        <f t="shared" si="71"/>
        <v>5455626.652693335</v>
      </c>
      <c r="F621" s="107">
        <v>5002408.7896594871</v>
      </c>
      <c r="G621" s="107">
        <v>0</v>
      </c>
      <c r="H621" s="107">
        <v>0</v>
      </c>
      <c r="I621" s="107">
        <v>0</v>
      </c>
      <c r="J621" s="107"/>
      <c r="K621" s="107"/>
      <c r="L621" s="107">
        <v>181362.34506279053</v>
      </c>
      <c r="M621" s="107">
        <v>0</v>
      </c>
      <c r="N621" s="107">
        <v>0</v>
      </c>
      <c r="O621" s="107">
        <v>0</v>
      </c>
      <c r="P621" s="107">
        <v>0</v>
      </c>
      <c r="Q621" s="107">
        <v>0</v>
      </c>
      <c r="R621" s="107">
        <v>114738.14</v>
      </c>
      <c r="S621" s="107">
        <v>45263.86</v>
      </c>
      <c r="T621" s="145">
        <v>111853.51797105787</v>
      </c>
      <c r="U621" s="23">
        <f t="shared" si="70"/>
        <v>2</v>
      </c>
    </row>
    <row r="622" spans="1:21" x14ac:dyDescent="0.25">
      <c r="A622" s="102">
        <f t="shared" si="73"/>
        <v>603</v>
      </c>
      <c r="B622" s="101">
        <f t="shared" si="72"/>
        <v>141</v>
      </c>
      <c r="C622" s="73" t="s">
        <v>51</v>
      </c>
      <c r="D622" s="120" t="s">
        <v>248</v>
      </c>
      <c r="E622" s="123">
        <f t="shared" si="71"/>
        <v>7038538.1019435525</v>
      </c>
      <c r="F622" s="107">
        <v>6493512.7739412477</v>
      </c>
      <c r="G622" s="107">
        <v>0</v>
      </c>
      <c r="H622" s="107">
        <v>0</v>
      </c>
      <c r="I622" s="107">
        <v>0</v>
      </c>
      <c r="J622" s="107"/>
      <c r="K622" s="107"/>
      <c r="L622" s="107">
        <v>234524.94783440491</v>
      </c>
      <c r="M622" s="107">
        <v>0</v>
      </c>
      <c r="N622" s="107">
        <v>0</v>
      </c>
      <c r="O622" s="107">
        <v>0</v>
      </c>
      <c r="P622" s="107">
        <v>0</v>
      </c>
      <c r="Q622" s="107">
        <v>0</v>
      </c>
      <c r="R622" s="107">
        <v>119126.95999999999</v>
      </c>
      <c r="S622" s="107">
        <v>45834.82</v>
      </c>
      <c r="T622" s="145">
        <v>145538.60016789901</v>
      </c>
      <c r="U622" s="23">
        <f t="shared" si="70"/>
        <v>2</v>
      </c>
    </row>
    <row r="623" spans="1:21" x14ac:dyDescent="0.25">
      <c r="A623" s="102">
        <f t="shared" si="73"/>
        <v>604</v>
      </c>
      <c r="B623" s="101">
        <f t="shared" si="72"/>
        <v>142</v>
      </c>
      <c r="C623" s="73" t="s">
        <v>51</v>
      </c>
      <c r="D623" s="120" t="s">
        <v>427</v>
      </c>
      <c r="E623" s="123">
        <f t="shared" si="71"/>
        <v>38805142.746190399</v>
      </c>
      <c r="F623" s="107">
        <v>5849711.7173237624</v>
      </c>
      <c r="G623" s="107">
        <v>2084483.7093000133</v>
      </c>
      <c r="H623" s="107">
        <v>2177830.1779701547</v>
      </c>
      <c r="I623" s="107">
        <v>1363466.8505143321</v>
      </c>
      <c r="J623" s="107"/>
      <c r="K623" s="107"/>
      <c r="L623" s="107">
        <v>224457.78122599761</v>
      </c>
      <c r="M623" s="107">
        <v>0</v>
      </c>
      <c r="N623" s="107">
        <v>10694143.905129086</v>
      </c>
      <c r="O623" s="107">
        <v>0</v>
      </c>
      <c r="P623" s="107">
        <v>5552452.1344507812</v>
      </c>
      <c r="Q623" s="107">
        <v>5988963.4812416844</v>
      </c>
      <c r="R623" s="107">
        <v>3718496.5709544048</v>
      </c>
      <c r="S623" s="108">
        <v>411105.06146944402</v>
      </c>
      <c r="T623" s="145">
        <v>740031.35661073995</v>
      </c>
      <c r="U623" s="23">
        <f t="shared" si="70"/>
        <v>8</v>
      </c>
    </row>
    <row r="624" spans="1:21" x14ac:dyDescent="0.25">
      <c r="A624" s="102">
        <f t="shared" si="73"/>
        <v>605</v>
      </c>
      <c r="B624" s="101">
        <f t="shared" si="72"/>
        <v>143</v>
      </c>
      <c r="C624" s="73" t="s">
        <v>51</v>
      </c>
      <c r="D624" s="120" t="s">
        <v>540</v>
      </c>
      <c r="E624" s="123">
        <f t="shared" si="71"/>
        <v>7189674.5525713367</v>
      </c>
      <c r="F624" s="107">
        <v>6174730.6827967558</v>
      </c>
      <c r="G624" s="107">
        <v>0</v>
      </c>
      <c r="H624" s="107">
        <v>0</v>
      </c>
      <c r="I624" s="107">
        <v>0</v>
      </c>
      <c r="J624" s="107">
        <v>0</v>
      </c>
      <c r="K624" s="107"/>
      <c r="L624" s="107">
        <v>313091.46726934006</v>
      </c>
      <c r="M624" s="107">
        <v>0</v>
      </c>
      <c r="N624" s="107">
        <v>0</v>
      </c>
      <c r="O624" s="107">
        <v>0</v>
      </c>
      <c r="P624" s="107">
        <v>0</v>
      </c>
      <c r="Q624" s="107">
        <v>0</v>
      </c>
      <c r="R624" s="107">
        <v>512890.66080000001</v>
      </c>
      <c r="S624" s="108">
        <v>64111.332600000002</v>
      </c>
      <c r="T624" s="145">
        <v>124850.40910523999</v>
      </c>
      <c r="U624" s="23">
        <f t="shared" si="70"/>
        <v>2</v>
      </c>
    </row>
    <row r="625" spans="1:21" x14ac:dyDescent="0.25">
      <c r="A625" s="102">
        <f t="shared" si="73"/>
        <v>606</v>
      </c>
      <c r="B625" s="101">
        <f t="shared" si="72"/>
        <v>144</v>
      </c>
      <c r="C625" s="73" t="s">
        <v>51</v>
      </c>
      <c r="D625" s="120" t="s">
        <v>541</v>
      </c>
      <c r="E625" s="123">
        <f t="shared" si="71"/>
        <v>19780526.76326644</v>
      </c>
      <c r="F625" s="107">
        <v>3280088.99</v>
      </c>
      <c r="G625" s="107">
        <v>1167152.8400000001</v>
      </c>
      <c r="H625" s="107">
        <v>1247962.1000000001</v>
      </c>
      <c r="I625" s="107">
        <v>783013.39</v>
      </c>
      <c r="J625" s="107"/>
      <c r="K625" s="107"/>
      <c r="L625" s="107">
        <v>117081.436122</v>
      </c>
      <c r="M625" s="107">
        <v>0</v>
      </c>
      <c r="N625" s="107">
        <v>6081223.3600000003</v>
      </c>
      <c r="O625" s="107">
        <v>0</v>
      </c>
      <c r="P625" s="107">
        <v>3161067.71</v>
      </c>
      <c r="Q625" s="107">
        <v>3389504.91</v>
      </c>
      <c r="R625" s="107">
        <v>390060.34770000004</v>
      </c>
      <c r="S625" s="107">
        <v>37971.527699999999</v>
      </c>
      <c r="T625" s="145">
        <v>125400.15174444001</v>
      </c>
      <c r="U625" s="23">
        <f t="shared" si="70"/>
        <v>8</v>
      </c>
    </row>
    <row r="626" spans="1:21" x14ac:dyDescent="0.25">
      <c r="A626" s="102">
        <f t="shared" si="73"/>
        <v>607</v>
      </c>
      <c r="B626" s="101">
        <f t="shared" si="72"/>
        <v>145</v>
      </c>
      <c r="C626" s="73" t="s">
        <v>51</v>
      </c>
      <c r="D626" s="120" t="s">
        <v>481</v>
      </c>
      <c r="E626" s="123">
        <f t="shared" si="71"/>
        <v>8007344.662175999</v>
      </c>
      <c r="F626" s="107">
        <v>0</v>
      </c>
      <c r="G626" s="107">
        <v>0</v>
      </c>
      <c r="H626" s="107">
        <v>0</v>
      </c>
      <c r="I626" s="107">
        <v>0</v>
      </c>
      <c r="J626" s="107"/>
      <c r="K626" s="107"/>
      <c r="L626" s="107"/>
      <c r="M626" s="107">
        <v>0</v>
      </c>
      <c r="N626" s="107">
        <v>0</v>
      </c>
      <c r="O626" s="107">
        <v>0</v>
      </c>
      <c r="P626" s="107">
        <v>0</v>
      </c>
      <c r="Q626" s="107">
        <v>7829891.4404087989</v>
      </c>
      <c r="R626" s="107"/>
      <c r="S626" s="108"/>
      <c r="T626" s="145">
        <v>177453.22176719998</v>
      </c>
      <c r="U626" s="23">
        <f t="shared" ref="U626:U657" si="74">COUNTIF(F626:Q626,"&gt;0")</f>
        <v>1</v>
      </c>
    </row>
    <row r="627" spans="1:21" x14ac:dyDescent="0.25">
      <c r="A627" s="102">
        <f t="shared" si="73"/>
        <v>608</v>
      </c>
      <c r="B627" s="101">
        <f t="shared" si="72"/>
        <v>146</v>
      </c>
      <c r="C627" s="73" t="s">
        <v>51</v>
      </c>
      <c r="D627" s="120" t="s">
        <v>542</v>
      </c>
      <c r="E627" s="123">
        <f t="shared" si="71"/>
        <v>5881515.5899999999</v>
      </c>
      <c r="F627" s="107">
        <v>0</v>
      </c>
      <c r="G627" s="107">
        <v>0</v>
      </c>
      <c r="H627" s="107">
        <v>0</v>
      </c>
      <c r="I627" s="107">
        <v>0</v>
      </c>
      <c r="J627" s="107">
        <v>0</v>
      </c>
      <c r="K627" s="107"/>
      <c r="L627" s="107"/>
      <c r="M627" s="107">
        <v>0</v>
      </c>
      <c r="N627" s="107">
        <v>0</v>
      </c>
      <c r="O627" s="107">
        <v>0</v>
      </c>
      <c r="P627" s="107">
        <v>5547799.158590666</v>
      </c>
      <c r="Q627" s="107">
        <v>0</v>
      </c>
      <c r="R627" s="107">
        <v>176500.30000340639</v>
      </c>
      <c r="S627" s="107">
        <f>35897</f>
        <v>35897</v>
      </c>
      <c r="T627" s="145">
        <v>121319.13140592711</v>
      </c>
      <c r="U627" s="23">
        <f t="shared" si="74"/>
        <v>1</v>
      </c>
    </row>
    <row r="628" spans="1:21" x14ac:dyDescent="0.25">
      <c r="A628" s="102">
        <f t="shared" si="73"/>
        <v>609</v>
      </c>
      <c r="B628" s="101">
        <f t="shared" si="72"/>
        <v>147</v>
      </c>
      <c r="C628" s="73" t="s">
        <v>51</v>
      </c>
      <c r="D628" s="120" t="s">
        <v>434</v>
      </c>
      <c r="E628" s="123">
        <f t="shared" si="71"/>
        <v>37045747.3191</v>
      </c>
      <c r="F628" s="107"/>
      <c r="G628" s="107"/>
      <c r="H628" s="107"/>
      <c r="I628" s="107"/>
      <c r="J628" s="107"/>
      <c r="K628" s="107"/>
      <c r="L628" s="107"/>
      <c r="M628" s="107"/>
      <c r="N628" s="107"/>
      <c r="O628" s="107">
        <v>0</v>
      </c>
      <c r="P628" s="107">
        <v>36252968.326471262</v>
      </c>
      <c r="Q628" s="107"/>
      <c r="R628" s="107"/>
      <c r="S628" s="108"/>
      <c r="T628" s="145">
        <v>792778.99262874003</v>
      </c>
      <c r="U628" s="23">
        <f t="shared" si="74"/>
        <v>1</v>
      </c>
    </row>
    <row r="629" spans="1:21" x14ac:dyDescent="0.25">
      <c r="A629" s="102">
        <f t="shared" si="73"/>
        <v>610</v>
      </c>
      <c r="B629" s="101">
        <f t="shared" si="72"/>
        <v>148</v>
      </c>
      <c r="C629" s="73" t="s">
        <v>51</v>
      </c>
      <c r="D629" s="120" t="s">
        <v>543</v>
      </c>
      <c r="E629" s="123">
        <f t="shared" si="71"/>
        <v>1573497.0647</v>
      </c>
      <c r="F629" s="107">
        <v>0</v>
      </c>
      <c r="G629" s="107">
        <v>0</v>
      </c>
      <c r="H629" s="107">
        <v>1539824.2275154199</v>
      </c>
      <c r="I629" s="107">
        <v>0</v>
      </c>
      <c r="J629" s="107">
        <v>0</v>
      </c>
      <c r="K629" s="107"/>
      <c r="L629" s="107"/>
      <c r="M629" s="107">
        <v>0</v>
      </c>
      <c r="N629" s="107">
        <v>0</v>
      </c>
      <c r="O629" s="107">
        <v>0</v>
      </c>
      <c r="P629" s="107"/>
      <c r="Q629" s="107">
        <v>0</v>
      </c>
      <c r="R629" s="107"/>
      <c r="S629" s="108"/>
      <c r="T629" s="145">
        <v>33672.837184579999</v>
      </c>
      <c r="U629" s="23">
        <f t="shared" si="74"/>
        <v>1</v>
      </c>
    </row>
    <row r="630" spans="1:21" x14ac:dyDescent="0.25">
      <c r="A630" s="102">
        <f t="shared" si="73"/>
        <v>611</v>
      </c>
      <c r="B630" s="101">
        <f t="shared" si="72"/>
        <v>149</v>
      </c>
      <c r="C630" s="73" t="s">
        <v>51</v>
      </c>
      <c r="D630" s="120" t="s">
        <v>438</v>
      </c>
      <c r="E630" s="123">
        <f t="shared" si="71"/>
        <v>1136857.68</v>
      </c>
      <c r="F630" s="107">
        <v>0</v>
      </c>
      <c r="G630" s="107">
        <v>0</v>
      </c>
      <c r="H630" s="107">
        <v>0</v>
      </c>
      <c r="I630" s="107">
        <v>0</v>
      </c>
      <c r="J630" s="107">
        <v>974016.82475999987</v>
      </c>
      <c r="K630" s="107"/>
      <c r="L630" s="107"/>
      <c r="M630" s="107">
        <v>0</v>
      </c>
      <c r="N630" s="107">
        <v>0</v>
      </c>
      <c r="O630" s="107">
        <v>0</v>
      </c>
      <c r="P630" s="107">
        <v>0</v>
      </c>
      <c r="Q630" s="107">
        <v>0</v>
      </c>
      <c r="R630" s="107">
        <v>113216.27</v>
      </c>
      <c r="S630" s="107">
        <v>28324.81</v>
      </c>
      <c r="T630" s="145">
        <v>21299.775239999999</v>
      </c>
      <c r="U630" s="23">
        <f t="shared" si="74"/>
        <v>1</v>
      </c>
    </row>
    <row r="631" spans="1:21" x14ac:dyDescent="0.25">
      <c r="A631" s="102">
        <f t="shared" si="73"/>
        <v>612</v>
      </c>
      <c r="B631" s="101">
        <f t="shared" si="72"/>
        <v>150</v>
      </c>
      <c r="C631" s="73" t="s">
        <v>51</v>
      </c>
      <c r="D631" s="120" t="s">
        <v>219</v>
      </c>
      <c r="E631" s="123">
        <f t="shared" si="71"/>
        <v>2536945.4940698305</v>
      </c>
      <c r="F631" s="107">
        <v>0</v>
      </c>
      <c r="G631" s="107">
        <v>2230881.5159207908</v>
      </c>
      <c r="H631" s="107">
        <v>0</v>
      </c>
      <c r="I631" s="107">
        <v>0</v>
      </c>
      <c r="J631" s="107"/>
      <c r="K631" s="107"/>
      <c r="L631" s="107"/>
      <c r="M631" s="107">
        <v>0</v>
      </c>
      <c r="N631" s="107">
        <v>0</v>
      </c>
      <c r="O631" s="107">
        <v>0</v>
      </c>
      <c r="P631" s="107">
        <v>0</v>
      </c>
      <c r="Q631" s="107">
        <v>0</v>
      </c>
      <c r="R631" s="107">
        <v>237174.32400000002</v>
      </c>
      <c r="S631" s="107">
        <v>23717.432400000002</v>
      </c>
      <c r="T631" s="145">
        <v>45172.221749040007</v>
      </c>
      <c r="U631" s="23">
        <f t="shared" si="74"/>
        <v>1</v>
      </c>
    </row>
    <row r="632" spans="1:21" x14ac:dyDescent="0.25">
      <c r="A632" s="102">
        <f t="shared" si="73"/>
        <v>613</v>
      </c>
      <c r="B632" s="101">
        <f t="shared" si="72"/>
        <v>151</v>
      </c>
      <c r="C632" s="73" t="s">
        <v>51</v>
      </c>
      <c r="D632" s="120" t="s">
        <v>488</v>
      </c>
      <c r="E632" s="123">
        <f t="shared" si="71"/>
        <v>2783871.0411000005</v>
      </c>
      <c r="F632" s="107">
        <v>0</v>
      </c>
      <c r="G632" s="107">
        <v>0</v>
      </c>
      <c r="H632" s="107">
        <v>2724296.2008204604</v>
      </c>
      <c r="I632" s="107">
        <v>0</v>
      </c>
      <c r="J632" s="107"/>
      <c r="K632" s="107"/>
      <c r="L632" s="107"/>
      <c r="M632" s="107"/>
      <c r="N632" s="107"/>
      <c r="O632" s="107"/>
      <c r="P632" s="107"/>
      <c r="Q632" s="107">
        <v>0</v>
      </c>
      <c r="R632" s="107"/>
      <c r="S632" s="108"/>
      <c r="T632" s="145">
        <v>59574.840279540011</v>
      </c>
      <c r="U632" s="23">
        <f t="shared" si="74"/>
        <v>1</v>
      </c>
    </row>
    <row r="633" spans="1:21" x14ac:dyDescent="0.25">
      <c r="A633" s="102">
        <f t="shared" si="73"/>
        <v>614</v>
      </c>
      <c r="B633" s="101">
        <f t="shared" si="72"/>
        <v>152</v>
      </c>
      <c r="C633" s="73" t="s">
        <v>51</v>
      </c>
      <c r="D633" s="120" t="s">
        <v>559</v>
      </c>
      <c r="E633" s="123">
        <f t="shared" si="71"/>
        <v>1970236.371824</v>
      </c>
      <c r="F633" s="107"/>
      <c r="G633" s="107"/>
      <c r="H633" s="107"/>
      <c r="I633" s="107"/>
      <c r="J633" s="107">
        <v>1671863.4150329665</v>
      </c>
      <c r="K633" s="107"/>
      <c r="L633" s="107"/>
      <c r="M633" s="107"/>
      <c r="N633" s="107"/>
      <c r="O633" s="107"/>
      <c r="P633" s="107"/>
      <c r="Q633" s="107"/>
      <c r="R633" s="107">
        <v>261812.69</v>
      </c>
      <c r="S633" s="108"/>
      <c r="T633" s="145">
        <v>36560.266791033602</v>
      </c>
      <c r="U633" s="23">
        <f t="shared" si="74"/>
        <v>1</v>
      </c>
    </row>
    <row r="634" spans="1:21" x14ac:dyDescent="0.25">
      <c r="A634" s="102">
        <f t="shared" si="73"/>
        <v>615</v>
      </c>
      <c r="B634" s="101">
        <f t="shared" si="72"/>
        <v>153</v>
      </c>
      <c r="C634" s="73" t="s">
        <v>51</v>
      </c>
      <c r="D634" s="120" t="s">
        <v>560</v>
      </c>
      <c r="E634" s="123">
        <f t="shared" si="71"/>
        <v>7182720</v>
      </c>
      <c r="F634" s="107"/>
      <c r="G634" s="107"/>
      <c r="H634" s="107"/>
      <c r="I634" s="107"/>
      <c r="J634" s="107"/>
      <c r="K634" s="107"/>
      <c r="L634" s="107"/>
      <c r="M634" s="107">
        <v>6868490.3575085625</v>
      </c>
      <c r="N634" s="107"/>
      <c r="O634" s="107"/>
      <c r="P634" s="107"/>
      <c r="Q634" s="107"/>
      <c r="R634" s="107">
        <v>140029.66941696001</v>
      </c>
      <c r="S634" s="108">
        <v>24000</v>
      </c>
      <c r="T634" s="145">
        <v>150199.97307447705</v>
      </c>
      <c r="U634" s="23">
        <f t="shared" si="74"/>
        <v>1</v>
      </c>
    </row>
    <row r="635" spans="1:21" x14ac:dyDescent="0.25">
      <c r="A635" s="102">
        <f t="shared" si="73"/>
        <v>616</v>
      </c>
      <c r="B635" s="101">
        <f t="shared" si="72"/>
        <v>154</v>
      </c>
      <c r="C635" s="73" t="s">
        <v>51</v>
      </c>
      <c r="D635" s="120" t="s">
        <v>489</v>
      </c>
      <c r="E635" s="123">
        <f t="shared" si="71"/>
        <v>9199974.4340940006</v>
      </c>
      <c r="F635" s="107">
        <v>0</v>
      </c>
      <c r="G635" s="107"/>
      <c r="H635" s="107">
        <v>2399769.9437850602</v>
      </c>
      <c r="I635" s="107">
        <v>0</v>
      </c>
      <c r="J635" s="107"/>
      <c r="K635" s="107"/>
      <c r="L635" s="107"/>
      <c r="M635" s="107"/>
      <c r="N635" s="107"/>
      <c r="O635" s="107"/>
      <c r="P635" s="107"/>
      <c r="Q635" s="107">
        <v>6599302.6705422606</v>
      </c>
      <c r="R635" s="107"/>
      <c r="S635" s="108"/>
      <c r="T635" s="145">
        <v>200901.81976668001</v>
      </c>
      <c r="U635" s="23">
        <f t="shared" si="74"/>
        <v>2</v>
      </c>
    </row>
    <row r="636" spans="1:21" x14ac:dyDescent="0.25">
      <c r="A636" s="102">
        <f t="shared" si="73"/>
        <v>617</v>
      </c>
      <c r="B636" s="101">
        <f t="shared" si="72"/>
        <v>155</v>
      </c>
      <c r="C636" s="73" t="s">
        <v>51</v>
      </c>
      <c r="D636" s="120" t="s">
        <v>546</v>
      </c>
      <c r="E636" s="123">
        <f t="shared" si="71"/>
        <v>38715794.560827829</v>
      </c>
      <c r="F636" s="107">
        <v>8145536.9211967923</v>
      </c>
      <c r="G636" s="107">
        <v>2902577.0561398687</v>
      </c>
      <c r="H636" s="107">
        <v>3032559.0353824017</v>
      </c>
      <c r="I636" s="107">
        <v>1898584.0855715647</v>
      </c>
      <c r="J636" s="107">
        <v>1161613.0260681349</v>
      </c>
      <c r="K636" s="107"/>
      <c r="L636" s="107">
        <v>312550.29864321835</v>
      </c>
      <c r="M636" s="107">
        <v>0</v>
      </c>
      <c r="N636" s="107">
        <v>0</v>
      </c>
      <c r="O636" s="107">
        <v>0</v>
      </c>
      <c r="P636" s="107">
        <v>7731612.436627632</v>
      </c>
      <c r="Q636" s="107">
        <v>8339440.559383967</v>
      </c>
      <c r="R636" s="107">
        <v>4071050.8610671004</v>
      </c>
      <c r="S636" s="108">
        <v>387157.94560827821</v>
      </c>
      <c r="T636" s="145">
        <v>733112.33513886225</v>
      </c>
      <c r="U636" s="23">
        <f t="shared" si="74"/>
        <v>8</v>
      </c>
    </row>
    <row r="637" spans="1:21" x14ac:dyDescent="0.25">
      <c r="A637" s="102">
        <f t="shared" si="73"/>
        <v>618</v>
      </c>
      <c r="B637" s="101">
        <f t="shared" si="72"/>
        <v>156</v>
      </c>
      <c r="C637" s="73" t="s">
        <v>51</v>
      </c>
      <c r="D637" s="120" t="s">
        <v>547</v>
      </c>
      <c r="E637" s="123">
        <f t="shared" si="71"/>
        <v>74923651.909586757</v>
      </c>
      <c r="F637" s="107">
        <v>11822138.915253168</v>
      </c>
      <c r="G637" s="107">
        <v>4192746.7065505343</v>
      </c>
      <c r="H637" s="107">
        <v>4497893.3018872356</v>
      </c>
      <c r="I637" s="107">
        <v>2796018.8655805346</v>
      </c>
      <c r="J637" s="107">
        <v>2055716.9420669565</v>
      </c>
      <c r="K637" s="107"/>
      <c r="L637" s="107">
        <v>429590.66187959554</v>
      </c>
      <c r="M637" s="107"/>
      <c r="N637" s="107">
        <v>21981498.489577852</v>
      </c>
      <c r="O637" s="107"/>
      <c r="P637" s="107">
        <v>11331624.506706703</v>
      </c>
      <c r="Q637" s="107">
        <v>12368954.783286048</v>
      </c>
      <c r="R637" s="107">
        <v>1836823.8115989452</v>
      </c>
      <c r="S637" s="108">
        <v>47605.562949359999</v>
      </c>
      <c r="T637" s="145">
        <v>1563039.3622498228</v>
      </c>
      <c r="U637" s="23">
        <f t="shared" si="74"/>
        <v>9</v>
      </c>
    </row>
    <row r="638" spans="1:21" x14ac:dyDescent="0.25">
      <c r="A638" s="102">
        <f t="shared" si="73"/>
        <v>619</v>
      </c>
      <c r="B638" s="101">
        <f t="shared" si="72"/>
        <v>157</v>
      </c>
      <c r="C638" s="73" t="s">
        <v>51</v>
      </c>
      <c r="D638" s="120" t="s">
        <v>439</v>
      </c>
      <c r="E638" s="123">
        <f t="shared" si="71"/>
        <v>28692544.751838498</v>
      </c>
      <c r="F638" s="107"/>
      <c r="G638" s="107"/>
      <c r="H638" s="107"/>
      <c r="I638" s="107"/>
      <c r="J638" s="107"/>
      <c r="K638" s="107"/>
      <c r="L638" s="107"/>
      <c r="M638" s="107"/>
      <c r="N638" s="107">
        <v>12083403.596964777</v>
      </c>
      <c r="O638" s="107">
        <v>0</v>
      </c>
      <c r="P638" s="107">
        <v>6273762.6020927802</v>
      </c>
      <c r="Q638" s="107">
        <v>6766980.4627014613</v>
      </c>
      <c r="R638" s="107">
        <v>2732058.4400660531</v>
      </c>
      <c r="S638" s="108">
        <v>286925.44751838496</v>
      </c>
      <c r="T638" s="145">
        <v>549414.20249503676</v>
      </c>
      <c r="U638" s="23">
        <f t="shared" si="74"/>
        <v>3</v>
      </c>
    </row>
    <row r="639" spans="1:21" x14ac:dyDescent="0.25">
      <c r="A639" s="102">
        <f t="shared" si="73"/>
        <v>620</v>
      </c>
      <c r="B639" s="101">
        <f t="shared" si="72"/>
        <v>158</v>
      </c>
      <c r="C639" s="73" t="s">
        <v>51</v>
      </c>
      <c r="D639" s="120" t="s">
        <v>548</v>
      </c>
      <c r="E639" s="123">
        <f t="shared" si="71"/>
        <v>2039953.34</v>
      </c>
      <c r="F639" s="107"/>
      <c r="G639" s="107"/>
      <c r="H639" s="107"/>
      <c r="I639" s="107"/>
      <c r="J639" s="107">
        <v>1732566.2449115328</v>
      </c>
      <c r="K639" s="107"/>
      <c r="L639" s="107"/>
      <c r="M639" s="107"/>
      <c r="N639" s="107"/>
      <c r="O639" s="107"/>
      <c r="P639" s="107"/>
      <c r="Q639" s="107"/>
      <c r="R639" s="107">
        <v>245499.38035199995</v>
      </c>
      <c r="S639" s="108">
        <v>24000</v>
      </c>
      <c r="T639" s="145">
        <v>37887.714736467206</v>
      </c>
      <c r="U639" s="23">
        <f t="shared" si="74"/>
        <v>1</v>
      </c>
    </row>
    <row r="640" spans="1:21" x14ac:dyDescent="0.25">
      <c r="A640" s="102">
        <f t="shared" si="73"/>
        <v>621</v>
      </c>
      <c r="B640" s="101">
        <f t="shared" si="72"/>
        <v>159</v>
      </c>
      <c r="C640" s="73" t="s">
        <v>51</v>
      </c>
      <c r="D640" s="120" t="s">
        <v>549</v>
      </c>
      <c r="E640" s="123">
        <f t="shared" si="71"/>
        <v>33755644.016001284</v>
      </c>
      <c r="F640" s="107">
        <v>6215154.0490028635</v>
      </c>
      <c r="G640" s="107">
        <v>2143637.4761874913</v>
      </c>
      <c r="H640" s="107">
        <v>2373820.8287424021</v>
      </c>
      <c r="I640" s="107">
        <v>1401136.3128114911</v>
      </c>
      <c r="J640" s="107">
        <v>986806.02311840642</v>
      </c>
      <c r="K640" s="107"/>
      <c r="L640" s="107">
        <v>230299.60996685261</v>
      </c>
      <c r="M640" s="107"/>
      <c r="N640" s="107">
        <v>11655792.165892318</v>
      </c>
      <c r="O640" s="107"/>
      <c r="P640" s="107"/>
      <c r="Q640" s="107">
        <v>6517670.0745251151</v>
      </c>
      <c r="R640" s="107">
        <v>1498477.79318372</v>
      </c>
      <c r="S640" s="108">
        <v>43476.727368</v>
      </c>
      <c r="T640" s="145">
        <v>689372.95520262048</v>
      </c>
      <c r="U640" s="23">
        <f t="shared" si="74"/>
        <v>8</v>
      </c>
    </row>
    <row r="641" spans="1:21" x14ac:dyDescent="0.25">
      <c r="A641" s="102">
        <f t="shared" si="73"/>
        <v>622</v>
      </c>
      <c r="B641" s="101">
        <f t="shared" si="72"/>
        <v>160</v>
      </c>
      <c r="C641" s="73" t="s">
        <v>51</v>
      </c>
      <c r="D641" s="120" t="s">
        <v>550</v>
      </c>
      <c r="E641" s="123">
        <f t="shared" si="71"/>
        <v>58958023.002210207</v>
      </c>
      <c r="F641" s="107">
        <v>6142121.8651877278</v>
      </c>
      <c r="G641" s="107">
        <v>3578025.9848233829</v>
      </c>
      <c r="H641" s="107"/>
      <c r="I641" s="107">
        <v>2974577.8532713829</v>
      </c>
      <c r="J641" s="107">
        <v>1375191.617017613</v>
      </c>
      <c r="K641" s="107"/>
      <c r="L641" s="107">
        <v>292554.20428490959</v>
      </c>
      <c r="M641" s="107"/>
      <c r="N641" s="107">
        <v>11168994.283332974</v>
      </c>
      <c r="O641" s="107"/>
      <c r="P641" s="107">
        <v>22105655.477428261</v>
      </c>
      <c r="Q641" s="107">
        <v>8603954.118300084</v>
      </c>
      <c r="R641" s="107">
        <v>1441429.1382704319</v>
      </c>
      <c r="S641" s="108">
        <v>45640.048646160001</v>
      </c>
      <c r="T641" s="145">
        <v>1229878.4116472832</v>
      </c>
      <c r="U641" s="23">
        <f t="shared" si="74"/>
        <v>8</v>
      </c>
    </row>
    <row r="642" spans="1:21" x14ac:dyDescent="0.25">
      <c r="A642" s="102">
        <f t="shared" si="73"/>
        <v>623</v>
      </c>
      <c r="B642" s="101">
        <f t="shared" si="72"/>
        <v>161</v>
      </c>
      <c r="C642" s="73" t="s">
        <v>51</v>
      </c>
      <c r="D642" s="120" t="s">
        <v>551</v>
      </c>
      <c r="E642" s="123">
        <f t="shared" si="71"/>
        <v>8914451.7878207974</v>
      </c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>
        <v>7764077.4424096756</v>
      </c>
      <c r="R642" s="107">
        <v>891445.17878207995</v>
      </c>
      <c r="S642" s="108">
        <v>89144.517878207989</v>
      </c>
      <c r="T642" s="145">
        <v>169784.64875083495</v>
      </c>
      <c r="U642" s="23">
        <f t="shared" si="74"/>
        <v>1</v>
      </c>
    </row>
    <row r="643" spans="1:21" x14ac:dyDescent="0.25">
      <c r="A643" s="102">
        <f t="shared" si="73"/>
        <v>624</v>
      </c>
      <c r="B643" s="101">
        <f t="shared" si="72"/>
        <v>162</v>
      </c>
      <c r="C643" s="73" t="s">
        <v>51</v>
      </c>
      <c r="D643" s="120" t="s">
        <v>492</v>
      </c>
      <c r="E643" s="123">
        <f t="shared" si="71"/>
        <v>2304169.0619060001</v>
      </c>
      <c r="F643" s="107"/>
      <c r="G643" s="107">
        <v>0</v>
      </c>
      <c r="H643" s="107">
        <v>2244217.7771235602</v>
      </c>
      <c r="I643" s="107">
        <v>0</v>
      </c>
      <c r="J643" s="107"/>
      <c r="K643" s="107"/>
      <c r="L643" s="107"/>
      <c r="M643" s="107"/>
      <c r="N643" s="107"/>
      <c r="O643" s="107"/>
      <c r="P643" s="107"/>
      <c r="Q643" s="107">
        <v>0</v>
      </c>
      <c r="R643" s="107"/>
      <c r="S643" s="108"/>
      <c r="T643" s="145">
        <v>59951.284782440009</v>
      </c>
      <c r="U643" s="23">
        <f t="shared" si="74"/>
        <v>1</v>
      </c>
    </row>
    <row r="644" spans="1:21" x14ac:dyDescent="0.25">
      <c r="A644" s="102">
        <f t="shared" si="73"/>
        <v>625</v>
      </c>
      <c r="B644" s="101">
        <f t="shared" si="72"/>
        <v>163</v>
      </c>
      <c r="C644" s="73" t="s">
        <v>51</v>
      </c>
      <c r="D644" s="120" t="s">
        <v>552</v>
      </c>
      <c r="E644" s="123">
        <f t="shared" si="71"/>
        <v>80216609.443918288</v>
      </c>
      <c r="F644" s="107">
        <v>8299975.9537642226</v>
      </c>
      <c r="G644" s="107">
        <v>4800122.6970841354</v>
      </c>
      <c r="H644" s="107">
        <v>0</v>
      </c>
      <c r="I644" s="107">
        <v>0</v>
      </c>
      <c r="J644" s="107">
        <v>1545604.2900846084</v>
      </c>
      <c r="K644" s="107"/>
      <c r="L644" s="107">
        <v>412435.57775988925</v>
      </c>
      <c r="M644" s="107">
        <v>0</v>
      </c>
      <c r="N644" s="107">
        <v>14775207.726083936</v>
      </c>
      <c r="O644" s="107">
        <v>0</v>
      </c>
      <c r="P644" s="107">
        <v>28686193.672410153</v>
      </c>
      <c r="Q644" s="107">
        <v>11281898.466324883</v>
      </c>
      <c r="R644" s="107">
        <v>8086588.8803274343</v>
      </c>
      <c r="S644" s="108">
        <v>802166.0944391829</v>
      </c>
      <c r="T644" s="145">
        <v>1526416.085639846</v>
      </c>
      <c r="U644" s="23">
        <f t="shared" si="74"/>
        <v>7</v>
      </c>
    </row>
    <row r="645" spans="1:21" x14ac:dyDescent="0.25">
      <c r="A645" s="102">
        <f t="shared" si="73"/>
        <v>626</v>
      </c>
      <c r="B645" s="101">
        <f t="shared" si="72"/>
        <v>164</v>
      </c>
      <c r="C645" s="73" t="s">
        <v>51</v>
      </c>
      <c r="D645" s="120" t="s">
        <v>442</v>
      </c>
      <c r="E645" s="123">
        <f t="shared" si="71"/>
        <v>19051411.108678184</v>
      </c>
      <c r="F645" s="107">
        <v>8294633.6247248678</v>
      </c>
      <c r="G645" s="107">
        <v>4797033.0694731697</v>
      </c>
      <c r="H645" s="107">
        <v>0</v>
      </c>
      <c r="I645" s="107">
        <v>3866521.7444623262</v>
      </c>
      <c r="J645" s="107">
        <v>0</v>
      </c>
      <c r="K645" s="107"/>
      <c r="L645" s="107">
        <v>412170.11113972031</v>
      </c>
      <c r="M645" s="107"/>
      <c r="N645" s="107"/>
      <c r="O645" s="107"/>
      <c r="P645" s="107"/>
      <c r="Q645" s="107"/>
      <c r="R645" s="107"/>
      <c r="S645" s="107"/>
      <c r="T645" s="153">
        <v>1681052.5588781</v>
      </c>
      <c r="U645" s="23">
        <f t="shared" si="74"/>
        <v>4</v>
      </c>
    </row>
    <row r="646" spans="1:21" x14ac:dyDescent="0.25">
      <c r="A646" s="102">
        <f t="shared" si="73"/>
        <v>627</v>
      </c>
      <c r="B646" s="101">
        <f t="shared" si="72"/>
        <v>165</v>
      </c>
      <c r="C646" s="73" t="s">
        <v>51</v>
      </c>
      <c r="D646" s="120" t="s">
        <v>553</v>
      </c>
      <c r="E646" s="123">
        <f t="shared" si="71"/>
        <v>6507525.8595053386</v>
      </c>
      <c r="F646" s="107">
        <v>6068202.4410059536</v>
      </c>
      <c r="G646" s="107">
        <v>0</v>
      </c>
      <c r="H646" s="107">
        <v>0</v>
      </c>
      <c r="I646" s="107">
        <v>0</v>
      </c>
      <c r="J646" s="107">
        <v>0</v>
      </c>
      <c r="K646" s="107">
        <v>0</v>
      </c>
      <c r="L646" s="107">
        <v>314554.40909568005</v>
      </c>
      <c r="M646" s="107">
        <v>0</v>
      </c>
      <c r="N646" s="107">
        <v>0</v>
      </c>
      <c r="O646" s="107">
        <v>0</v>
      </c>
      <c r="P646" s="107">
        <v>0</v>
      </c>
      <c r="Q646" s="107">
        <v>0</v>
      </c>
      <c r="R646" s="107"/>
      <c r="S646" s="107"/>
      <c r="T646" s="145">
        <v>124769.00940370458</v>
      </c>
      <c r="U646" s="23">
        <f t="shared" si="74"/>
        <v>2</v>
      </c>
    </row>
    <row r="647" spans="1:21" x14ac:dyDescent="0.25">
      <c r="A647" s="102">
        <f t="shared" si="73"/>
        <v>628</v>
      </c>
      <c r="B647" s="101">
        <f t="shared" si="72"/>
        <v>166</v>
      </c>
      <c r="C647" s="73" t="s">
        <v>51</v>
      </c>
      <c r="D647" s="120" t="s">
        <v>495</v>
      </c>
      <c r="E647" s="123">
        <f t="shared" si="71"/>
        <v>17172310.390230007</v>
      </c>
      <c r="F647" s="107">
        <v>0</v>
      </c>
      <c r="G647" s="107">
        <v>2080965.3426794703</v>
      </c>
      <c r="H647" s="107">
        <v>0</v>
      </c>
      <c r="I647" s="107">
        <v>1397905.6390375202</v>
      </c>
      <c r="J647" s="107"/>
      <c r="K647" s="107"/>
      <c r="L647" s="107"/>
      <c r="M647" s="107">
        <v>0</v>
      </c>
      <c r="N647" s="107">
        <v>0</v>
      </c>
      <c r="O647" s="107">
        <v>0</v>
      </c>
      <c r="P647" s="107">
        <v>5479231.0429634154</v>
      </c>
      <c r="Q647" s="107">
        <v>5909986.0434617801</v>
      </c>
      <c r="R647" s="107">
        <v>1796136.5285136958</v>
      </c>
      <c r="S647" s="107">
        <v>191715.22968136959</v>
      </c>
      <c r="T647" s="145">
        <v>316370.56389275653</v>
      </c>
      <c r="U647" s="23">
        <f t="shared" si="74"/>
        <v>4</v>
      </c>
    </row>
    <row r="648" spans="1:21" x14ac:dyDescent="0.25">
      <c r="A648" s="102">
        <f t="shared" si="73"/>
        <v>629</v>
      </c>
      <c r="B648" s="101">
        <f t="shared" si="72"/>
        <v>167</v>
      </c>
      <c r="C648" s="73" t="s">
        <v>51</v>
      </c>
      <c r="D648" s="120" t="s">
        <v>447</v>
      </c>
      <c r="E648" s="123">
        <f t="shared" si="71"/>
        <v>15454795.540899998</v>
      </c>
      <c r="F648" s="107"/>
      <c r="G648" s="107"/>
      <c r="H648" s="107"/>
      <c r="I648" s="107"/>
      <c r="J648" s="107"/>
      <c r="K648" s="107"/>
      <c r="L648" s="107"/>
      <c r="M648" s="107">
        <v>0</v>
      </c>
      <c r="N648" s="107">
        <v>0</v>
      </c>
      <c r="O648" s="107">
        <v>0</v>
      </c>
      <c r="P648" s="107">
        <v>15124062.916324738</v>
      </c>
      <c r="Q648" s="107">
        <v>0</v>
      </c>
      <c r="R648" s="107"/>
      <c r="S648" s="108"/>
      <c r="T648" s="145">
        <v>330732.62457525998</v>
      </c>
      <c r="U648" s="23">
        <f t="shared" si="74"/>
        <v>1</v>
      </c>
    </row>
    <row r="649" spans="1:21" x14ac:dyDescent="0.25">
      <c r="A649" s="102">
        <f t="shared" si="73"/>
        <v>630</v>
      </c>
      <c r="B649" s="101">
        <f t="shared" si="72"/>
        <v>168</v>
      </c>
      <c r="C649" s="73" t="s">
        <v>51</v>
      </c>
      <c r="D649" s="120" t="s">
        <v>499</v>
      </c>
      <c r="E649" s="123">
        <f t="shared" si="71"/>
        <v>15497815.610646002</v>
      </c>
      <c r="F649" s="107"/>
      <c r="G649" s="107"/>
      <c r="H649" s="107"/>
      <c r="I649" s="107"/>
      <c r="J649" s="107"/>
      <c r="K649" s="107"/>
      <c r="L649" s="107"/>
      <c r="M649" s="107">
        <v>0</v>
      </c>
      <c r="N649" s="107">
        <v>0</v>
      </c>
      <c r="O649" s="107">
        <v>0</v>
      </c>
      <c r="P649" s="107">
        <v>15131212.272876842</v>
      </c>
      <c r="Q649" s="107">
        <v>0</v>
      </c>
      <c r="R649" s="107"/>
      <c r="S649" s="108"/>
      <c r="T649" s="145">
        <v>366603.33776916005</v>
      </c>
      <c r="U649" s="23">
        <f t="shared" si="74"/>
        <v>1</v>
      </c>
    </row>
    <row r="650" spans="1:21" x14ac:dyDescent="0.25">
      <c r="A650" s="102">
        <f t="shared" si="73"/>
        <v>631</v>
      </c>
      <c r="B650" s="101">
        <f t="shared" si="72"/>
        <v>169</v>
      </c>
      <c r="C650" s="73" t="s">
        <v>51</v>
      </c>
      <c r="D650" s="120" t="s">
        <v>554</v>
      </c>
      <c r="E650" s="123">
        <f t="shared" si="71"/>
        <v>26407589.646799996</v>
      </c>
      <c r="F650" s="107">
        <v>4454647.7270950191</v>
      </c>
      <c r="G650" s="107">
        <v>1587374.11791714</v>
      </c>
      <c r="H650" s="107">
        <v>1658452.76095254</v>
      </c>
      <c r="I650" s="107">
        <v>1038296.2829962799</v>
      </c>
      <c r="J650" s="107"/>
      <c r="K650" s="107"/>
      <c r="L650" s="107">
        <v>170937.02604636003</v>
      </c>
      <c r="M650" s="107">
        <v>0</v>
      </c>
      <c r="N650" s="107">
        <v>8143773.8420052007</v>
      </c>
      <c r="O650" s="107">
        <v>0</v>
      </c>
      <c r="P650" s="107">
        <v>4228285.0782631198</v>
      </c>
      <c r="Q650" s="107">
        <v>4560700.3930828199</v>
      </c>
      <c r="R650" s="107"/>
      <c r="S650" s="108"/>
      <c r="T650" s="145">
        <v>565122.41844152007</v>
      </c>
      <c r="U650" s="23">
        <f t="shared" si="74"/>
        <v>8</v>
      </c>
    </row>
    <row r="651" spans="1:21" x14ac:dyDescent="0.25">
      <c r="A651" s="102">
        <f t="shared" si="73"/>
        <v>632</v>
      </c>
      <c r="B651" s="101">
        <f t="shared" si="72"/>
        <v>170</v>
      </c>
      <c r="C651" s="73" t="s">
        <v>51</v>
      </c>
      <c r="D651" s="120" t="s">
        <v>449</v>
      </c>
      <c r="E651" s="123">
        <f t="shared" si="71"/>
        <v>43944884.196869135</v>
      </c>
      <c r="F651" s="107">
        <v>14481087.167140989</v>
      </c>
      <c r="G651" s="107">
        <v>5160184.2537752874</v>
      </c>
      <c r="H651" s="107">
        <v>5391265.4445891734</v>
      </c>
      <c r="I651" s="107">
        <v>3375291.5127992532</v>
      </c>
      <c r="J651" s="107"/>
      <c r="K651" s="107"/>
      <c r="L651" s="107">
        <v>555650.06488281873</v>
      </c>
      <c r="M651" s="107">
        <v>0</v>
      </c>
      <c r="N651" s="107">
        <v>0</v>
      </c>
      <c r="O651" s="107">
        <v>0</v>
      </c>
      <c r="P651" s="107">
        <v>13745214.676518328</v>
      </c>
      <c r="Q651" s="107"/>
      <c r="R651" s="107">
        <v>290539.34000000003</v>
      </c>
      <c r="S651" s="108">
        <v>24000</v>
      </c>
      <c r="T651" s="145">
        <v>921651.73716328025</v>
      </c>
      <c r="U651" s="23">
        <f t="shared" si="74"/>
        <v>6</v>
      </c>
    </row>
    <row r="652" spans="1:21" x14ac:dyDescent="0.25">
      <c r="A652" s="102">
        <f t="shared" si="73"/>
        <v>633</v>
      </c>
      <c r="B652" s="101">
        <f t="shared" si="72"/>
        <v>171</v>
      </c>
      <c r="C652" s="73" t="s">
        <v>51</v>
      </c>
      <c r="D652" s="120" t="s">
        <v>555</v>
      </c>
      <c r="E652" s="123">
        <f t="shared" si="71"/>
        <v>13967958.4</v>
      </c>
      <c r="F652" s="107">
        <v>6278778.3834300004</v>
      </c>
      <c r="G652" s="107"/>
      <c r="H652" s="107">
        <v>3922818.876228</v>
      </c>
      <c r="I652" s="107">
        <v>3084097.6605179999</v>
      </c>
      <c r="J652" s="107"/>
      <c r="K652" s="107"/>
      <c r="L652" s="107">
        <v>285559.1703006</v>
      </c>
      <c r="M652" s="107">
        <v>0</v>
      </c>
      <c r="N652" s="107">
        <v>0</v>
      </c>
      <c r="O652" s="107">
        <v>0</v>
      </c>
      <c r="P652" s="107">
        <v>0</v>
      </c>
      <c r="Q652" s="107">
        <v>0</v>
      </c>
      <c r="R652" s="107">
        <v>78950.87950000001</v>
      </c>
      <c r="S652" s="108">
        <v>20977.589500000002</v>
      </c>
      <c r="T652" s="145">
        <v>296775.84052339999</v>
      </c>
      <c r="U652" s="23">
        <f t="shared" si="74"/>
        <v>4</v>
      </c>
    </row>
    <row r="653" spans="1:21" x14ac:dyDescent="0.25">
      <c r="A653" s="102">
        <f t="shared" si="73"/>
        <v>634</v>
      </c>
      <c r="B653" s="101">
        <f t="shared" si="72"/>
        <v>172</v>
      </c>
      <c r="C653" s="73" t="s">
        <v>51</v>
      </c>
      <c r="D653" s="120" t="s">
        <v>556</v>
      </c>
      <c r="E653" s="123">
        <f t="shared" si="71"/>
        <v>62722849.571893282</v>
      </c>
      <c r="F653" s="107">
        <v>10370296.47949386</v>
      </c>
      <c r="G653" s="107">
        <v>5997425.9547111001</v>
      </c>
      <c r="H653" s="107">
        <v>6339723.2965151407</v>
      </c>
      <c r="I653" s="107">
        <v>4834092.9101480395</v>
      </c>
      <c r="J653" s="107"/>
      <c r="K653" s="107"/>
      <c r="L653" s="107">
        <v>515297.3006874001</v>
      </c>
      <c r="M653" s="107">
        <v>0</v>
      </c>
      <c r="N653" s="107">
        <v>18460706.644925997</v>
      </c>
      <c r="O653" s="107">
        <v>0</v>
      </c>
      <c r="P653" s="107"/>
      <c r="Q653" s="107">
        <v>14096028.4779699</v>
      </c>
      <c r="R653" s="107"/>
      <c r="S653" s="108"/>
      <c r="T653" s="145">
        <v>2109278.5074418397</v>
      </c>
      <c r="U653" s="23">
        <f t="shared" si="74"/>
        <v>7</v>
      </c>
    </row>
    <row r="654" spans="1:21" x14ac:dyDescent="0.25">
      <c r="A654" s="102">
        <f t="shared" si="73"/>
        <v>635</v>
      </c>
      <c r="B654" s="101">
        <f t="shared" si="72"/>
        <v>173</v>
      </c>
      <c r="C654" s="73" t="s">
        <v>51</v>
      </c>
      <c r="D654" s="120" t="s">
        <v>452</v>
      </c>
      <c r="E654" s="123">
        <f t="shared" si="71"/>
        <v>15471833.963887997</v>
      </c>
      <c r="F654" s="107"/>
      <c r="G654" s="107"/>
      <c r="H654" s="107"/>
      <c r="I654" s="107"/>
      <c r="J654" s="107"/>
      <c r="K654" s="107"/>
      <c r="L654" s="107"/>
      <c r="M654" s="107">
        <v>0</v>
      </c>
      <c r="N654" s="107">
        <v>0</v>
      </c>
      <c r="O654" s="107">
        <v>0</v>
      </c>
      <c r="P654" s="107">
        <v>15105792.339437097</v>
      </c>
      <c r="Q654" s="107">
        <v>0</v>
      </c>
      <c r="R654" s="107"/>
      <c r="S654" s="108"/>
      <c r="T654" s="145">
        <v>366041.62445090001</v>
      </c>
      <c r="U654" s="23">
        <f t="shared" si="74"/>
        <v>1</v>
      </c>
    </row>
    <row r="655" spans="1:21" x14ac:dyDescent="0.25">
      <c r="A655" s="102">
        <f t="shared" si="73"/>
        <v>636</v>
      </c>
      <c r="B655" s="101">
        <f t="shared" si="72"/>
        <v>174</v>
      </c>
      <c r="C655" s="73" t="s">
        <v>51</v>
      </c>
      <c r="D655" s="120" t="s">
        <v>557</v>
      </c>
      <c r="E655" s="123">
        <f t="shared" si="71"/>
        <v>8700505.9915000014</v>
      </c>
      <c r="F655" s="107">
        <v>4256960.5015337411</v>
      </c>
      <c r="G655" s="107">
        <v>1516930.0345470598</v>
      </c>
      <c r="H655" s="107">
        <v>1584854.3608997399</v>
      </c>
      <c r="I655" s="107">
        <v>992219.03665164008</v>
      </c>
      <c r="J655" s="107">
        <v>0</v>
      </c>
      <c r="K655" s="107"/>
      <c r="L655" s="107">
        <v>163351.22964971996</v>
      </c>
      <c r="M655" s="107">
        <v>0</v>
      </c>
      <c r="N655" s="107"/>
      <c r="O655" s="107"/>
      <c r="P655" s="107"/>
      <c r="Q655" s="107">
        <v>0</v>
      </c>
      <c r="R655" s="107"/>
      <c r="S655" s="108"/>
      <c r="T655" s="145">
        <v>186190.82821810001</v>
      </c>
      <c r="U655" s="23">
        <f t="shared" si="74"/>
        <v>5</v>
      </c>
    </row>
    <row r="656" spans="1:21" x14ac:dyDescent="0.25">
      <c r="A656" s="102">
        <f t="shared" si="73"/>
        <v>637</v>
      </c>
      <c r="B656" s="101">
        <f t="shared" si="72"/>
        <v>175</v>
      </c>
      <c r="C656" s="73" t="s">
        <v>44</v>
      </c>
      <c r="D656" s="120" t="s">
        <v>563</v>
      </c>
      <c r="E656" s="123">
        <f t="shared" si="71"/>
        <v>2524095.1532999999</v>
      </c>
      <c r="F656" s="107"/>
      <c r="G656" s="107"/>
      <c r="H656" s="107">
        <v>2470079.5170193799</v>
      </c>
      <c r="I656" s="107">
        <v>0</v>
      </c>
      <c r="J656" s="107"/>
      <c r="K656" s="107"/>
      <c r="L656" s="107"/>
      <c r="M656" s="107"/>
      <c r="N656" s="107"/>
      <c r="O656" s="107"/>
      <c r="P656" s="107"/>
      <c r="Q656" s="107"/>
      <c r="R656" s="107"/>
      <c r="S656" s="108"/>
      <c r="T656" s="145">
        <v>54015.636280620005</v>
      </c>
      <c r="U656" s="23">
        <f t="shared" si="74"/>
        <v>1</v>
      </c>
    </row>
    <row r="657" spans="1:21" x14ac:dyDescent="0.25">
      <c r="A657" s="102">
        <f t="shared" si="73"/>
        <v>638</v>
      </c>
      <c r="B657" s="101">
        <f t="shared" si="72"/>
        <v>176</v>
      </c>
      <c r="C657" s="73" t="s">
        <v>44</v>
      </c>
      <c r="D657" s="120" t="s">
        <v>565</v>
      </c>
      <c r="E657" s="123">
        <f t="shared" si="71"/>
        <v>420332.95579999994</v>
      </c>
      <c r="F657" s="107">
        <v>0</v>
      </c>
      <c r="G657" s="107"/>
      <c r="H657" s="107">
        <v>411337.83054587996</v>
      </c>
      <c r="I657" s="107"/>
      <c r="J657" s="107">
        <v>0</v>
      </c>
      <c r="K657" s="107"/>
      <c r="L657" s="107"/>
      <c r="M657" s="107">
        <v>0</v>
      </c>
      <c r="N657" s="107"/>
      <c r="O657" s="107">
        <v>0</v>
      </c>
      <c r="P657" s="107">
        <v>0</v>
      </c>
      <c r="Q657" s="107">
        <v>0</v>
      </c>
      <c r="R657" s="107"/>
      <c r="S657" s="108"/>
      <c r="T657" s="145">
        <v>8995.1252541199992</v>
      </c>
      <c r="U657" s="23">
        <f t="shared" si="74"/>
        <v>1</v>
      </c>
    </row>
    <row r="658" spans="1:21" x14ac:dyDescent="0.25">
      <c r="A658" s="102">
        <f t="shared" si="73"/>
        <v>639</v>
      </c>
      <c r="B658" s="101">
        <f t="shared" si="72"/>
        <v>177</v>
      </c>
      <c r="C658" s="73" t="s">
        <v>52</v>
      </c>
      <c r="D658" s="120" t="s">
        <v>581</v>
      </c>
      <c r="E658" s="123">
        <f t="shared" si="71"/>
        <v>522546.69680000003</v>
      </c>
      <c r="F658" s="107"/>
      <c r="G658" s="107"/>
      <c r="H658" s="107">
        <v>511364.19748848001</v>
      </c>
      <c r="I658" s="107"/>
      <c r="J658" s="107"/>
      <c r="K658" s="107"/>
      <c r="L658" s="107"/>
      <c r="M658" s="107">
        <v>0</v>
      </c>
      <c r="N658" s="107">
        <v>0</v>
      </c>
      <c r="O658" s="107">
        <v>0</v>
      </c>
      <c r="P658" s="107">
        <v>0</v>
      </c>
      <c r="Q658" s="107">
        <v>0</v>
      </c>
      <c r="R658" s="107"/>
      <c r="S658" s="108"/>
      <c r="T658" s="145">
        <v>11182.499311520001</v>
      </c>
      <c r="U658" s="23">
        <f t="shared" ref="U658:U689" si="75">COUNTIF(F658:Q658,"&gt;0")</f>
        <v>1</v>
      </c>
    </row>
    <row r="659" spans="1:21" x14ac:dyDescent="0.25">
      <c r="A659" s="102">
        <f t="shared" si="73"/>
        <v>640</v>
      </c>
      <c r="B659" s="101">
        <f t="shared" si="72"/>
        <v>178</v>
      </c>
      <c r="C659" s="73" t="s">
        <v>63</v>
      </c>
      <c r="D659" s="120" t="s">
        <v>570</v>
      </c>
      <c r="E659" s="123">
        <f t="shared" si="71"/>
        <v>3497618.6289000004</v>
      </c>
      <c r="F659" s="107">
        <v>2090429.3526916802</v>
      </c>
      <c r="G659" s="107">
        <v>0</v>
      </c>
      <c r="H659" s="107">
        <v>599365.27642445988</v>
      </c>
      <c r="I659" s="107">
        <v>510794.96876771998</v>
      </c>
      <c r="J659" s="107">
        <v>0</v>
      </c>
      <c r="K659" s="107"/>
      <c r="L659" s="107">
        <v>222179.99235767999</v>
      </c>
      <c r="M659" s="107">
        <v>0</v>
      </c>
      <c r="N659" s="107">
        <v>0</v>
      </c>
      <c r="O659" s="107">
        <v>0</v>
      </c>
      <c r="P659" s="107">
        <v>0</v>
      </c>
      <c r="Q659" s="107">
        <v>0</v>
      </c>
      <c r="R659" s="107"/>
      <c r="S659" s="108"/>
      <c r="T659" s="145">
        <v>74849.038658460006</v>
      </c>
      <c r="U659" s="23">
        <f t="shared" si="75"/>
        <v>4</v>
      </c>
    </row>
    <row r="660" spans="1:21" x14ac:dyDescent="0.25">
      <c r="A660" s="102">
        <f t="shared" si="73"/>
        <v>641</v>
      </c>
      <c r="B660" s="101">
        <f t="shared" si="72"/>
        <v>179</v>
      </c>
      <c r="C660" s="73" t="s">
        <v>63</v>
      </c>
      <c r="D660" s="120" t="s">
        <v>566</v>
      </c>
      <c r="E660" s="123">
        <f t="shared" si="71"/>
        <v>722841.11670000001</v>
      </c>
      <c r="F660" s="107"/>
      <c r="G660" s="107"/>
      <c r="H660" s="107">
        <v>707372.31680261996</v>
      </c>
      <c r="I660" s="107"/>
      <c r="J660" s="107">
        <v>0</v>
      </c>
      <c r="K660" s="107"/>
      <c r="L660" s="107"/>
      <c r="M660" s="107">
        <v>0</v>
      </c>
      <c r="N660" s="107">
        <v>0</v>
      </c>
      <c r="O660" s="107">
        <v>0</v>
      </c>
      <c r="P660" s="107">
        <v>0</v>
      </c>
      <c r="Q660" s="107">
        <v>0</v>
      </c>
      <c r="R660" s="107"/>
      <c r="S660" s="108"/>
      <c r="T660" s="145">
        <v>15468.79989738</v>
      </c>
      <c r="U660" s="23">
        <f t="shared" si="75"/>
        <v>1</v>
      </c>
    </row>
    <row r="661" spans="1:21" x14ac:dyDescent="0.25">
      <c r="A661" s="102">
        <f t="shared" si="73"/>
        <v>642</v>
      </c>
      <c r="B661" s="101">
        <f t="shared" si="72"/>
        <v>180</v>
      </c>
      <c r="C661" s="73" t="s">
        <v>53</v>
      </c>
      <c r="D661" s="120" t="s">
        <v>582</v>
      </c>
      <c r="E661" s="123">
        <f t="shared" si="71"/>
        <v>3973408.8198000011</v>
      </c>
      <c r="F661" s="107">
        <v>1731370.4004597</v>
      </c>
      <c r="G661" s="107">
        <v>1053514.3282679403</v>
      </c>
      <c r="H661" s="107">
        <v>496416.34494900005</v>
      </c>
      <c r="I661" s="107">
        <v>423059.16646896006</v>
      </c>
      <c r="J661" s="107">
        <v>0</v>
      </c>
      <c r="K661" s="107"/>
      <c r="L661" s="107">
        <v>184017.63091067999</v>
      </c>
      <c r="M661" s="107">
        <v>0</v>
      </c>
      <c r="N661" s="107">
        <v>0</v>
      </c>
      <c r="O661" s="107">
        <v>0</v>
      </c>
      <c r="P661" s="107">
        <v>0</v>
      </c>
      <c r="Q661" s="107">
        <v>0</v>
      </c>
      <c r="R661" s="107"/>
      <c r="S661" s="108"/>
      <c r="T661" s="145">
        <v>85030.948743720015</v>
      </c>
      <c r="U661" s="23">
        <f t="shared" si="75"/>
        <v>5</v>
      </c>
    </row>
    <row r="662" spans="1:21" x14ac:dyDescent="0.25">
      <c r="A662" s="102">
        <f t="shared" si="73"/>
        <v>643</v>
      </c>
      <c r="B662" s="101">
        <f t="shared" si="72"/>
        <v>181</v>
      </c>
      <c r="C662" s="73" t="s">
        <v>54</v>
      </c>
      <c r="D662" s="120" t="s">
        <v>163</v>
      </c>
      <c r="E662" s="123">
        <f t="shared" si="71"/>
        <v>546650.25530000008</v>
      </c>
      <c r="F662" s="107">
        <v>0</v>
      </c>
      <c r="G662" s="107">
        <v>0</v>
      </c>
      <c r="H662" s="107">
        <v>534951.93983658007</v>
      </c>
      <c r="I662" s="107">
        <v>0</v>
      </c>
      <c r="J662" s="107">
        <v>0</v>
      </c>
      <c r="K662" s="107"/>
      <c r="L662" s="107"/>
      <c r="M662" s="107">
        <v>0</v>
      </c>
      <c r="N662" s="107">
        <v>0</v>
      </c>
      <c r="O662" s="107">
        <v>0</v>
      </c>
      <c r="P662" s="107">
        <v>0</v>
      </c>
      <c r="Q662" s="107">
        <v>0</v>
      </c>
      <c r="R662" s="107"/>
      <c r="S662" s="108"/>
      <c r="T662" s="145">
        <v>11698.315463420002</v>
      </c>
      <c r="U662" s="23">
        <f t="shared" si="75"/>
        <v>1</v>
      </c>
    </row>
    <row r="663" spans="1:21" x14ac:dyDescent="0.25">
      <c r="A663" s="102">
        <f t="shared" si="73"/>
        <v>644</v>
      </c>
      <c r="B663" s="101">
        <f t="shared" si="72"/>
        <v>182</v>
      </c>
      <c r="C663" s="73" t="s">
        <v>54</v>
      </c>
      <c r="D663" s="120" t="s">
        <v>164</v>
      </c>
      <c r="E663" s="123">
        <f t="shared" ref="E663:E726" si="76">SUBTOTAL(9,F663:T663)</f>
        <v>510906.35119999998</v>
      </c>
      <c r="F663" s="107">
        <v>0</v>
      </c>
      <c r="G663" s="107">
        <v>0</v>
      </c>
      <c r="H663" s="107">
        <v>499972.95528431999</v>
      </c>
      <c r="I663" s="107">
        <v>0</v>
      </c>
      <c r="J663" s="107">
        <v>0</v>
      </c>
      <c r="K663" s="107"/>
      <c r="L663" s="107"/>
      <c r="M663" s="107">
        <v>0</v>
      </c>
      <c r="N663" s="107">
        <v>0</v>
      </c>
      <c r="O663" s="107">
        <v>0</v>
      </c>
      <c r="P663" s="107">
        <v>0</v>
      </c>
      <c r="Q663" s="107">
        <v>0</v>
      </c>
      <c r="R663" s="107"/>
      <c r="S663" s="108"/>
      <c r="T663" s="145">
        <v>10933.395915679999</v>
      </c>
      <c r="U663" s="23">
        <f t="shared" si="75"/>
        <v>1</v>
      </c>
    </row>
    <row r="664" spans="1:21" x14ac:dyDescent="0.25">
      <c r="A664" s="102">
        <f t="shared" si="73"/>
        <v>645</v>
      </c>
      <c r="B664" s="101">
        <f t="shared" si="72"/>
        <v>183</v>
      </c>
      <c r="C664" s="73" t="s">
        <v>54</v>
      </c>
      <c r="D664" s="120" t="s">
        <v>578</v>
      </c>
      <c r="E664" s="123">
        <f t="shared" si="76"/>
        <v>536929.96900000004</v>
      </c>
      <c r="F664" s="107">
        <v>0</v>
      </c>
      <c r="G664" s="107">
        <v>0</v>
      </c>
      <c r="H664" s="107">
        <v>525439.66766340006</v>
      </c>
      <c r="I664" s="107">
        <v>0</v>
      </c>
      <c r="J664" s="107">
        <v>0</v>
      </c>
      <c r="K664" s="107"/>
      <c r="L664" s="107"/>
      <c r="M664" s="107">
        <v>0</v>
      </c>
      <c r="N664" s="107">
        <v>0</v>
      </c>
      <c r="O664" s="107">
        <v>0</v>
      </c>
      <c r="P664" s="107">
        <v>0</v>
      </c>
      <c r="Q664" s="107">
        <v>0</v>
      </c>
      <c r="R664" s="107"/>
      <c r="S664" s="108"/>
      <c r="T664" s="145">
        <v>11490.301336600001</v>
      </c>
      <c r="U664" s="23">
        <f t="shared" si="75"/>
        <v>1</v>
      </c>
    </row>
    <row r="665" spans="1:21" x14ac:dyDescent="0.25">
      <c r="A665" s="102">
        <f t="shared" si="73"/>
        <v>646</v>
      </c>
      <c r="B665" s="101">
        <f t="shared" si="72"/>
        <v>184</v>
      </c>
      <c r="C665" s="73" t="s">
        <v>54</v>
      </c>
      <c r="D665" s="120" t="s">
        <v>579</v>
      </c>
      <c r="E665" s="123">
        <f t="shared" si="76"/>
        <v>1607331.617505694</v>
      </c>
      <c r="F665" s="107">
        <v>0</v>
      </c>
      <c r="G665" s="107">
        <v>0</v>
      </c>
      <c r="H665" s="107"/>
      <c r="I665" s="107">
        <v>0</v>
      </c>
      <c r="J665" s="107">
        <v>0</v>
      </c>
      <c r="K665" s="107"/>
      <c r="L665" s="107"/>
      <c r="M665" s="107">
        <v>0</v>
      </c>
      <c r="N665" s="107">
        <v>0</v>
      </c>
      <c r="O665" s="107">
        <v>0</v>
      </c>
      <c r="P665" s="107">
        <v>0</v>
      </c>
      <c r="Q665" s="107">
        <v>1572934.7208910722</v>
      </c>
      <c r="R665" s="107"/>
      <c r="S665" s="108"/>
      <c r="T665" s="145">
        <v>34396.896614621852</v>
      </c>
      <c r="U665" s="23">
        <f t="shared" si="75"/>
        <v>1</v>
      </c>
    </row>
    <row r="666" spans="1:21" x14ac:dyDescent="0.25">
      <c r="A666" s="102">
        <f t="shared" si="73"/>
        <v>647</v>
      </c>
      <c r="B666" s="101">
        <f t="shared" si="72"/>
        <v>185</v>
      </c>
      <c r="C666" s="73" t="s">
        <v>54</v>
      </c>
      <c r="D666" s="120" t="s">
        <v>580</v>
      </c>
      <c r="E666" s="123">
        <f t="shared" si="76"/>
        <v>1011727.4448999999</v>
      </c>
      <c r="F666" s="107">
        <v>0</v>
      </c>
      <c r="G666" s="107">
        <v>0</v>
      </c>
      <c r="H666" s="107">
        <v>990076.47757913987</v>
      </c>
      <c r="I666" s="107">
        <v>0</v>
      </c>
      <c r="J666" s="107">
        <v>0</v>
      </c>
      <c r="K666" s="107"/>
      <c r="L666" s="107"/>
      <c r="M666" s="107">
        <v>0</v>
      </c>
      <c r="N666" s="107">
        <v>0</v>
      </c>
      <c r="O666" s="107">
        <v>0</v>
      </c>
      <c r="P666" s="107">
        <v>0</v>
      </c>
      <c r="Q666" s="107">
        <v>0</v>
      </c>
      <c r="R666" s="107"/>
      <c r="S666" s="108"/>
      <c r="T666" s="145">
        <v>21650.96732086</v>
      </c>
      <c r="U666" s="23">
        <f t="shared" si="75"/>
        <v>1</v>
      </c>
    </row>
    <row r="667" spans="1:21" x14ac:dyDescent="0.25">
      <c r="A667" s="102">
        <f t="shared" si="73"/>
        <v>648</v>
      </c>
      <c r="B667" s="101">
        <f t="shared" si="72"/>
        <v>186</v>
      </c>
      <c r="C667" s="73" t="s">
        <v>54</v>
      </c>
      <c r="D667" s="120" t="s">
        <v>213</v>
      </c>
      <c r="E667" s="123">
        <f t="shared" si="76"/>
        <v>3172147.2374999998</v>
      </c>
      <c r="F667" s="107">
        <v>1382229.2362897198</v>
      </c>
      <c r="G667" s="107">
        <v>841066.88252748002</v>
      </c>
      <c r="H667" s="107">
        <v>396311.02602629998</v>
      </c>
      <c r="I667" s="107">
        <v>337746.75668411993</v>
      </c>
      <c r="J667" s="107">
        <v>0</v>
      </c>
      <c r="K667" s="107"/>
      <c r="L667" s="107">
        <v>146909.38508988</v>
      </c>
      <c r="M667" s="107">
        <v>0</v>
      </c>
      <c r="N667" s="107">
        <v>0</v>
      </c>
      <c r="O667" s="107">
        <v>0</v>
      </c>
      <c r="P667" s="107">
        <v>0</v>
      </c>
      <c r="Q667" s="107">
        <v>0</v>
      </c>
      <c r="R667" s="107"/>
      <c r="S667" s="108"/>
      <c r="T667" s="145">
        <v>67883.950882499994</v>
      </c>
      <c r="U667" s="23">
        <f t="shared" si="75"/>
        <v>5</v>
      </c>
    </row>
    <row r="668" spans="1:21" x14ac:dyDescent="0.25">
      <c r="A668" s="102">
        <f t="shared" si="73"/>
        <v>649</v>
      </c>
      <c r="B668" s="101">
        <f t="shared" si="72"/>
        <v>187</v>
      </c>
      <c r="C668" s="73" t="s">
        <v>54</v>
      </c>
      <c r="D668" s="120" t="s">
        <v>165</v>
      </c>
      <c r="E668" s="123">
        <f t="shared" si="76"/>
        <v>546007.38159999996</v>
      </c>
      <c r="F668" s="107">
        <v>0</v>
      </c>
      <c r="G668" s="107">
        <v>0</v>
      </c>
      <c r="H668" s="107">
        <v>534322.82363375998</v>
      </c>
      <c r="I668" s="107">
        <v>0</v>
      </c>
      <c r="J668" s="107">
        <v>0</v>
      </c>
      <c r="K668" s="107"/>
      <c r="L668" s="107"/>
      <c r="M668" s="107">
        <v>0</v>
      </c>
      <c r="N668" s="107">
        <v>0</v>
      </c>
      <c r="O668" s="107">
        <v>0</v>
      </c>
      <c r="P668" s="107">
        <v>0</v>
      </c>
      <c r="Q668" s="107">
        <v>0</v>
      </c>
      <c r="R668" s="107"/>
      <c r="S668" s="108"/>
      <c r="T668" s="145">
        <v>11684.55796624</v>
      </c>
      <c r="U668" s="23">
        <f t="shared" si="75"/>
        <v>1</v>
      </c>
    </row>
    <row r="669" spans="1:21" x14ac:dyDescent="0.25">
      <c r="A669" s="102">
        <f t="shared" si="73"/>
        <v>650</v>
      </c>
      <c r="B669" s="101">
        <f t="shared" si="72"/>
        <v>188</v>
      </c>
      <c r="C669" s="73" t="s">
        <v>54</v>
      </c>
      <c r="D669" s="120" t="s">
        <v>166</v>
      </c>
      <c r="E669" s="123">
        <f t="shared" si="76"/>
        <v>531478.38079999993</v>
      </c>
      <c r="F669" s="107">
        <v>0</v>
      </c>
      <c r="G669" s="107">
        <v>0</v>
      </c>
      <c r="H669" s="107">
        <v>520104.74345087993</v>
      </c>
      <c r="I669" s="107">
        <v>0</v>
      </c>
      <c r="J669" s="107">
        <v>0</v>
      </c>
      <c r="K669" s="107"/>
      <c r="L669" s="107"/>
      <c r="M669" s="107">
        <v>0</v>
      </c>
      <c r="N669" s="107">
        <v>0</v>
      </c>
      <c r="O669" s="107">
        <v>0</v>
      </c>
      <c r="P669" s="107">
        <v>0</v>
      </c>
      <c r="Q669" s="107">
        <v>0</v>
      </c>
      <c r="R669" s="107"/>
      <c r="S669" s="108"/>
      <c r="T669" s="145">
        <v>11373.637349119999</v>
      </c>
      <c r="U669" s="23">
        <f t="shared" si="75"/>
        <v>1</v>
      </c>
    </row>
    <row r="670" spans="1:21" x14ac:dyDescent="0.25">
      <c r="A670" s="102">
        <f t="shared" si="73"/>
        <v>651</v>
      </c>
      <c r="B670" s="101">
        <f t="shared" si="72"/>
        <v>189</v>
      </c>
      <c r="C670" s="73" t="s">
        <v>54</v>
      </c>
      <c r="D670" s="120" t="s">
        <v>167</v>
      </c>
      <c r="E670" s="123">
        <f t="shared" si="76"/>
        <v>526763.96180000005</v>
      </c>
      <c r="F670" s="107">
        <v>0</v>
      </c>
      <c r="G670" s="107">
        <v>0</v>
      </c>
      <c r="H670" s="107">
        <v>515491.21301748004</v>
      </c>
      <c r="I670" s="107">
        <v>0</v>
      </c>
      <c r="J670" s="107">
        <v>0</v>
      </c>
      <c r="K670" s="107"/>
      <c r="L670" s="107"/>
      <c r="M670" s="107">
        <v>0</v>
      </c>
      <c r="N670" s="107">
        <v>0</v>
      </c>
      <c r="O670" s="107">
        <v>0</v>
      </c>
      <c r="P670" s="107">
        <v>0</v>
      </c>
      <c r="Q670" s="107">
        <v>0</v>
      </c>
      <c r="R670" s="107"/>
      <c r="S670" s="108"/>
      <c r="T670" s="145">
        <v>11272.748782520001</v>
      </c>
      <c r="U670" s="23">
        <f t="shared" si="75"/>
        <v>1</v>
      </c>
    </row>
    <row r="671" spans="1:21" x14ac:dyDescent="0.25">
      <c r="A671" s="102">
        <f t="shared" si="73"/>
        <v>652</v>
      </c>
      <c r="B671" s="101">
        <f t="shared" si="72"/>
        <v>190</v>
      </c>
      <c r="C671" s="73" t="s">
        <v>53</v>
      </c>
      <c r="D671" s="120" t="s">
        <v>761</v>
      </c>
      <c r="E671" s="123">
        <f t="shared" si="76"/>
        <v>2160923.4899999998</v>
      </c>
      <c r="F671" s="107">
        <v>1751498.5321852199</v>
      </c>
      <c r="G671" s="107"/>
      <c r="H671" s="107"/>
      <c r="I671" s="107"/>
      <c r="J671" s="107">
        <v>0</v>
      </c>
      <c r="K671" s="107"/>
      <c r="L671" s="107">
        <v>186156.94426056001</v>
      </c>
      <c r="M671" s="107">
        <v>0</v>
      </c>
      <c r="N671" s="107">
        <v>0</v>
      </c>
      <c r="O671" s="107">
        <v>0</v>
      </c>
      <c r="P671" s="107">
        <v>0</v>
      </c>
      <c r="Q671" s="107">
        <v>0</v>
      </c>
      <c r="R671" s="107">
        <v>159286.17779999998</v>
      </c>
      <c r="S671" s="108">
        <v>21609.234899999999</v>
      </c>
      <c r="T671" s="145">
        <v>42372.60085422</v>
      </c>
      <c r="U671" s="23">
        <f t="shared" si="75"/>
        <v>2</v>
      </c>
    </row>
    <row r="672" spans="1:21" x14ac:dyDescent="0.25">
      <c r="A672" s="102">
        <f t="shared" si="73"/>
        <v>653</v>
      </c>
      <c r="B672" s="101">
        <f t="shared" si="72"/>
        <v>191</v>
      </c>
      <c r="C672" s="73" t="s">
        <v>53</v>
      </c>
      <c r="D672" s="120" t="s">
        <v>762</v>
      </c>
      <c r="E672" s="123">
        <f t="shared" si="76"/>
        <v>2736423.6600000006</v>
      </c>
      <c r="F672" s="107">
        <v>1161013.0461300001</v>
      </c>
      <c r="G672" s="107">
        <v>715280.41599000001</v>
      </c>
      <c r="H672" s="107">
        <v>333617.54987400002</v>
      </c>
      <c r="I672" s="107">
        <v>289368.19367399998</v>
      </c>
      <c r="J672" s="107">
        <v>0</v>
      </c>
      <c r="K672" s="107"/>
      <c r="L672" s="107">
        <v>113967.79944983998</v>
      </c>
      <c r="M672" s="107">
        <v>0</v>
      </c>
      <c r="N672" s="107">
        <v>0</v>
      </c>
      <c r="O672" s="107">
        <v>0</v>
      </c>
      <c r="P672" s="107">
        <v>0</v>
      </c>
      <c r="Q672" s="107">
        <v>0</v>
      </c>
      <c r="R672" s="107">
        <v>40841.8678</v>
      </c>
      <c r="S672" s="108">
        <v>25188.3678</v>
      </c>
      <c r="T672" s="145">
        <v>57146.419282159994</v>
      </c>
      <c r="U672" s="23">
        <f t="shared" si="75"/>
        <v>5</v>
      </c>
    </row>
    <row r="673" spans="1:21" x14ac:dyDescent="0.25">
      <c r="A673" s="102">
        <f t="shared" si="73"/>
        <v>654</v>
      </c>
      <c r="B673" s="101">
        <f t="shared" si="72"/>
        <v>192</v>
      </c>
      <c r="C673" s="73" t="s">
        <v>53</v>
      </c>
      <c r="D673" s="120" t="s">
        <v>763</v>
      </c>
      <c r="E673" s="123">
        <f t="shared" si="76"/>
        <v>3376959.49</v>
      </c>
      <c r="F673" s="107">
        <v>2328768.9691980002</v>
      </c>
      <c r="G673" s="107">
        <v>822740.57006399997</v>
      </c>
      <c r="H673" s="107"/>
      <c r="I673" s="107">
        <v>0</v>
      </c>
      <c r="J673" s="107">
        <v>0</v>
      </c>
      <c r="K673" s="107"/>
      <c r="L673" s="107">
        <v>85315.658345399992</v>
      </c>
      <c r="M673" s="107">
        <v>0</v>
      </c>
      <c r="N673" s="107">
        <v>0</v>
      </c>
      <c r="O673" s="107">
        <v>0</v>
      </c>
      <c r="P673" s="107">
        <v>0</v>
      </c>
      <c r="Q673" s="107">
        <v>0</v>
      </c>
      <c r="R673" s="107">
        <v>52461.875500000002</v>
      </c>
      <c r="S673" s="108">
        <v>16889.605499999998</v>
      </c>
      <c r="T673" s="145">
        <v>70782.811392599993</v>
      </c>
      <c r="U673" s="23">
        <f t="shared" si="75"/>
        <v>3</v>
      </c>
    </row>
    <row r="674" spans="1:21" x14ac:dyDescent="0.25">
      <c r="A674" s="102">
        <f t="shared" si="73"/>
        <v>655</v>
      </c>
      <c r="B674" s="101">
        <f t="shared" ref="B674:B737" si="77">+B673+1</f>
        <v>193</v>
      </c>
      <c r="C674" s="73" t="s">
        <v>45</v>
      </c>
      <c r="D674" s="120" t="s">
        <v>608</v>
      </c>
      <c r="E674" s="123">
        <f t="shared" si="76"/>
        <v>1384114.0804000001</v>
      </c>
      <c r="F674" s="107"/>
      <c r="G674" s="107"/>
      <c r="H674" s="107">
        <v>1354494.0390794401</v>
      </c>
      <c r="I674" s="107">
        <v>0</v>
      </c>
      <c r="J674" s="107">
        <v>0</v>
      </c>
      <c r="K674" s="107"/>
      <c r="L674" s="107"/>
      <c r="M674" s="107">
        <v>0</v>
      </c>
      <c r="N674" s="107">
        <v>0</v>
      </c>
      <c r="O674" s="107">
        <v>0</v>
      </c>
      <c r="P674" s="107">
        <v>0</v>
      </c>
      <c r="Q674" s="107">
        <v>0</v>
      </c>
      <c r="R674" s="107"/>
      <c r="S674" s="108"/>
      <c r="T674" s="145">
        <v>29620.041320560002</v>
      </c>
      <c r="U674" s="23">
        <f t="shared" si="75"/>
        <v>1</v>
      </c>
    </row>
    <row r="675" spans="1:21" x14ac:dyDescent="0.25">
      <c r="A675" s="102">
        <f t="shared" ref="A675:A738" si="78">+A674+1</f>
        <v>656</v>
      </c>
      <c r="B675" s="101">
        <f t="shared" si="77"/>
        <v>194</v>
      </c>
      <c r="C675" s="73" t="s">
        <v>45</v>
      </c>
      <c r="D675" s="120" t="s">
        <v>609</v>
      </c>
      <c r="E675" s="123">
        <f t="shared" si="76"/>
        <v>5341683.8354999991</v>
      </c>
      <c r="F675" s="107">
        <v>0</v>
      </c>
      <c r="G675" s="107">
        <v>0</v>
      </c>
      <c r="H675" s="107">
        <v>1189999.01255088</v>
      </c>
      <c r="I675" s="107">
        <v>0</v>
      </c>
      <c r="J675" s="107">
        <v>0</v>
      </c>
      <c r="K675" s="107"/>
      <c r="L675" s="107"/>
      <c r="M675" s="107">
        <v>0</v>
      </c>
      <c r="N675" s="107">
        <v>0</v>
      </c>
      <c r="O675" s="107">
        <v>764864.79162029992</v>
      </c>
      <c r="P675" s="107">
        <v>0</v>
      </c>
      <c r="Q675" s="107">
        <v>3272507.9972491194</v>
      </c>
      <c r="R675" s="107"/>
      <c r="S675" s="108"/>
      <c r="T675" s="145">
        <v>114312.03407969998</v>
      </c>
      <c r="U675" s="23">
        <f t="shared" si="75"/>
        <v>3</v>
      </c>
    </row>
    <row r="676" spans="1:21" x14ac:dyDescent="0.25">
      <c r="A676" s="102">
        <f t="shared" si="78"/>
        <v>657</v>
      </c>
      <c r="B676" s="101">
        <f t="shared" si="77"/>
        <v>195</v>
      </c>
      <c r="C676" s="73" t="s">
        <v>45</v>
      </c>
      <c r="D676" s="120" t="s">
        <v>610</v>
      </c>
      <c r="E676" s="123">
        <f t="shared" si="76"/>
        <v>6055299.0787000004</v>
      </c>
      <c r="F676" s="107">
        <v>0</v>
      </c>
      <c r="G676" s="107">
        <v>0</v>
      </c>
      <c r="H676" s="107">
        <v>1348975.3697015401</v>
      </c>
      <c r="I676" s="107">
        <v>0</v>
      </c>
      <c r="J676" s="107">
        <v>0</v>
      </c>
      <c r="K676" s="107"/>
      <c r="L676" s="107"/>
      <c r="M676" s="107">
        <v>0</v>
      </c>
      <c r="N676" s="107">
        <v>0</v>
      </c>
      <c r="O676" s="107">
        <v>867045.8987589</v>
      </c>
      <c r="P676" s="107">
        <v>0</v>
      </c>
      <c r="Q676" s="107">
        <v>3709694.4099553796</v>
      </c>
      <c r="R676" s="107"/>
      <c r="S676" s="108"/>
      <c r="T676" s="145">
        <v>129583.40028418</v>
      </c>
      <c r="U676" s="23">
        <f t="shared" si="75"/>
        <v>3</v>
      </c>
    </row>
    <row r="677" spans="1:21" x14ac:dyDescent="0.25">
      <c r="A677" s="102">
        <f t="shared" si="78"/>
        <v>658</v>
      </c>
      <c r="B677" s="101">
        <f t="shared" si="77"/>
        <v>196</v>
      </c>
      <c r="C677" s="73" t="s">
        <v>45</v>
      </c>
      <c r="D677" s="120" t="s">
        <v>611</v>
      </c>
      <c r="E677" s="123">
        <f t="shared" si="76"/>
        <v>16766263.546429582</v>
      </c>
      <c r="F677" s="107">
        <v>3203239.6184538216</v>
      </c>
      <c r="G677" s="107">
        <v>1155612.6275413996</v>
      </c>
      <c r="H677" s="107">
        <v>1207334.4761285561</v>
      </c>
      <c r="I677" s="107">
        <v>755893.08185681317</v>
      </c>
      <c r="J677" s="107">
        <v>0</v>
      </c>
      <c r="K677" s="107"/>
      <c r="L677" s="107">
        <v>115576.72380976702</v>
      </c>
      <c r="M677" s="107"/>
      <c r="N677" s="107">
        <v>5928706.7255004831</v>
      </c>
      <c r="O677" s="107">
        <v>887889.08476115204</v>
      </c>
      <c r="P677" s="107">
        <v>0</v>
      </c>
      <c r="Q677" s="107">
        <v>3320169.8093535295</v>
      </c>
      <c r="R677" s="107"/>
      <c r="S677" s="108"/>
      <c r="T677" s="145">
        <v>191841.39902406279</v>
      </c>
      <c r="U677" s="23">
        <f t="shared" si="75"/>
        <v>8</v>
      </c>
    </row>
    <row r="678" spans="1:21" x14ac:dyDescent="0.25">
      <c r="A678" s="102">
        <f t="shared" si="78"/>
        <v>659</v>
      </c>
      <c r="B678" s="101">
        <f t="shared" si="77"/>
        <v>197</v>
      </c>
      <c r="C678" s="73" t="s">
        <v>45</v>
      </c>
      <c r="D678" s="120" t="s">
        <v>612</v>
      </c>
      <c r="E678" s="123">
        <f t="shared" si="76"/>
        <v>7055254.3934000004</v>
      </c>
      <c r="F678" s="107"/>
      <c r="G678" s="107"/>
      <c r="H678" s="107">
        <v>1168117.9829516402</v>
      </c>
      <c r="I678" s="107"/>
      <c r="J678" s="107"/>
      <c r="K678" s="107"/>
      <c r="L678" s="107"/>
      <c r="M678" s="107">
        <v>0</v>
      </c>
      <c r="N678" s="107">
        <v>5736153.9664296005</v>
      </c>
      <c r="O678" s="107">
        <v>0</v>
      </c>
      <c r="P678" s="107"/>
      <c r="Q678" s="107"/>
      <c r="R678" s="107"/>
      <c r="S678" s="108"/>
      <c r="T678" s="145">
        <v>150982.44401876003</v>
      </c>
      <c r="U678" s="23">
        <f t="shared" si="75"/>
        <v>2</v>
      </c>
    </row>
    <row r="679" spans="1:21" x14ac:dyDescent="0.25">
      <c r="A679" s="102">
        <f t="shared" si="78"/>
        <v>660</v>
      </c>
      <c r="B679" s="101">
        <f t="shared" si="77"/>
        <v>198</v>
      </c>
      <c r="C679" s="73" t="s">
        <v>45</v>
      </c>
      <c r="D679" s="120" t="s">
        <v>613</v>
      </c>
      <c r="E679" s="123">
        <f t="shared" si="76"/>
        <v>10250824.942299999</v>
      </c>
      <c r="F679" s="107">
        <v>3073518.7891098596</v>
      </c>
      <c r="G679" s="107"/>
      <c r="H679" s="107">
        <v>1158436.1099060399</v>
      </c>
      <c r="I679" s="107"/>
      <c r="J679" s="107">
        <v>0</v>
      </c>
      <c r="K679" s="107"/>
      <c r="L679" s="107">
        <v>110892.17747327998</v>
      </c>
      <c r="M679" s="107">
        <v>0</v>
      </c>
      <c r="N679" s="107">
        <v>5688610.2120455997</v>
      </c>
      <c r="O679" s="107">
        <v>0</v>
      </c>
      <c r="P679" s="107"/>
      <c r="Q679" s="107"/>
      <c r="R679" s="107"/>
      <c r="S679" s="108"/>
      <c r="T679" s="145">
        <v>219367.65376522005</v>
      </c>
      <c r="U679" s="23">
        <f t="shared" si="75"/>
        <v>4</v>
      </c>
    </row>
    <row r="680" spans="1:21" x14ac:dyDescent="0.25">
      <c r="A680" s="102">
        <f t="shared" si="78"/>
        <v>661</v>
      </c>
      <c r="B680" s="101">
        <f t="shared" si="77"/>
        <v>199</v>
      </c>
      <c r="C680" s="73" t="s">
        <v>45</v>
      </c>
      <c r="D680" s="120" t="s">
        <v>614</v>
      </c>
      <c r="E680" s="123">
        <f t="shared" si="76"/>
        <v>36148005.414999992</v>
      </c>
      <c r="F680" s="107">
        <v>3583619.264736</v>
      </c>
      <c r="G680" s="107">
        <v>2218742.4464100003</v>
      </c>
      <c r="H680" s="107">
        <v>1040167.9144080001</v>
      </c>
      <c r="I680" s="107">
        <v>906414.55938600004</v>
      </c>
      <c r="J680" s="107">
        <v>0</v>
      </c>
      <c r="K680" s="107"/>
      <c r="L680" s="107">
        <v>312478.89445500006</v>
      </c>
      <c r="M680" s="107">
        <v>0</v>
      </c>
      <c r="N680" s="107">
        <v>10499304.299651999</v>
      </c>
      <c r="O680" s="107">
        <v>0</v>
      </c>
      <c r="P680" s="107">
        <v>8671328.1752159987</v>
      </c>
      <c r="Q680" s="107">
        <v>8142382.5448560007</v>
      </c>
      <c r="R680" s="107"/>
      <c r="S680" s="108"/>
      <c r="T680" s="145">
        <v>773567.3158809999</v>
      </c>
      <c r="U680" s="23">
        <f t="shared" si="75"/>
        <v>8</v>
      </c>
    </row>
    <row r="681" spans="1:21" x14ac:dyDescent="0.25">
      <c r="A681" s="102">
        <f t="shared" si="78"/>
        <v>662</v>
      </c>
      <c r="B681" s="101">
        <f t="shared" si="77"/>
        <v>200</v>
      </c>
      <c r="C681" s="73" t="s">
        <v>45</v>
      </c>
      <c r="D681" s="120" t="s">
        <v>615</v>
      </c>
      <c r="E681" s="123">
        <f t="shared" si="76"/>
        <v>36523083.032605998</v>
      </c>
      <c r="F681" s="107">
        <v>3617984.0269859997</v>
      </c>
      <c r="G681" s="107">
        <v>2231790.3844320001</v>
      </c>
      <c r="H681" s="107">
        <v>1050168.4431</v>
      </c>
      <c r="I681" s="107">
        <v>912769.65628799994</v>
      </c>
      <c r="J681" s="107">
        <v>0</v>
      </c>
      <c r="K681" s="107"/>
      <c r="L681" s="107">
        <v>315453.97193603998</v>
      </c>
      <c r="M681" s="107">
        <v>0</v>
      </c>
      <c r="N681" s="107">
        <v>10614144.820062</v>
      </c>
      <c r="O681" s="107">
        <v>0</v>
      </c>
      <c r="P681" s="107">
        <v>8769141.9461520016</v>
      </c>
      <c r="Q681" s="107">
        <v>8229942.0850500017</v>
      </c>
      <c r="R681" s="107"/>
      <c r="S681" s="108"/>
      <c r="T681" s="145">
        <v>781687.69859996007</v>
      </c>
      <c r="U681" s="23">
        <f t="shared" si="75"/>
        <v>8</v>
      </c>
    </row>
    <row r="682" spans="1:21" x14ac:dyDescent="0.25">
      <c r="A682" s="102">
        <f t="shared" si="78"/>
        <v>663</v>
      </c>
      <c r="B682" s="101">
        <f t="shared" si="77"/>
        <v>201</v>
      </c>
      <c r="C682" s="73" t="s">
        <v>45</v>
      </c>
      <c r="D682" s="120" t="s">
        <v>605</v>
      </c>
      <c r="E682" s="123">
        <f t="shared" si="76"/>
        <v>19329020.200000003</v>
      </c>
      <c r="F682" s="107"/>
      <c r="G682" s="107"/>
      <c r="H682" s="107">
        <v>970374.21133800002</v>
      </c>
      <c r="I682" s="107">
        <v>0</v>
      </c>
      <c r="J682" s="107">
        <v>0</v>
      </c>
      <c r="K682" s="107"/>
      <c r="L682" s="107">
        <v>0</v>
      </c>
      <c r="M682" s="107">
        <v>0</v>
      </c>
      <c r="N682" s="107">
        <v>9849605.5063979998</v>
      </c>
      <c r="O682" s="107">
        <v>0</v>
      </c>
      <c r="P682" s="107">
        <v>8095399.4499840001</v>
      </c>
      <c r="Q682" s="107">
        <v>0</v>
      </c>
      <c r="R682" s="107"/>
      <c r="S682" s="108"/>
      <c r="T682" s="145">
        <v>413641.03227999998</v>
      </c>
      <c r="U682" s="23">
        <f t="shared" si="75"/>
        <v>3</v>
      </c>
    </row>
    <row r="683" spans="1:21" x14ac:dyDescent="0.25">
      <c r="A683" s="102">
        <f t="shared" si="78"/>
        <v>664</v>
      </c>
      <c r="B683" s="101">
        <f t="shared" si="77"/>
        <v>202</v>
      </c>
      <c r="C683" s="73" t="s">
        <v>45</v>
      </c>
      <c r="D683" s="120" t="s">
        <v>616</v>
      </c>
      <c r="E683" s="123">
        <f t="shared" si="76"/>
        <v>33239094.227299996</v>
      </c>
      <c r="F683" s="107">
        <v>3347005.1922762003</v>
      </c>
      <c r="G683" s="107">
        <v>2036602.79352348</v>
      </c>
      <c r="H683" s="107">
        <v>959676.47271510004</v>
      </c>
      <c r="I683" s="107">
        <v>817834.93398936011</v>
      </c>
      <c r="J683" s="107">
        <v>0</v>
      </c>
      <c r="K683" s="107"/>
      <c r="L683" s="107">
        <v>317258.01868739998</v>
      </c>
      <c r="M683" s="107">
        <v>0</v>
      </c>
      <c r="N683" s="107">
        <v>9682310.3290956002</v>
      </c>
      <c r="O683" s="107">
        <v>0</v>
      </c>
      <c r="P683" s="107">
        <v>7916887.847777158</v>
      </c>
      <c r="Q683" s="107">
        <v>7450202.0227714796</v>
      </c>
      <c r="R683" s="107"/>
      <c r="S683" s="108"/>
      <c r="T683" s="145">
        <v>711316.6164642201</v>
      </c>
      <c r="U683" s="23">
        <f t="shared" si="75"/>
        <v>8</v>
      </c>
    </row>
    <row r="684" spans="1:21" x14ac:dyDescent="0.25">
      <c r="A684" s="102">
        <f t="shared" si="78"/>
        <v>665</v>
      </c>
      <c r="B684" s="101">
        <f t="shared" si="77"/>
        <v>203</v>
      </c>
      <c r="C684" s="73" t="s">
        <v>45</v>
      </c>
      <c r="D684" s="120" t="s">
        <v>606</v>
      </c>
      <c r="E684" s="123">
        <f t="shared" si="76"/>
        <v>5128955.3972830009</v>
      </c>
      <c r="F684" s="107">
        <v>3459603.0948952204</v>
      </c>
      <c r="G684" s="107"/>
      <c r="H684" s="107">
        <v>1437441.799164</v>
      </c>
      <c r="I684" s="107"/>
      <c r="J684" s="107">
        <v>0</v>
      </c>
      <c r="K684" s="107"/>
      <c r="L684" s="107">
        <v>124822.049583</v>
      </c>
      <c r="M684" s="107">
        <v>0</v>
      </c>
      <c r="N684" s="107"/>
      <c r="O684" s="107"/>
      <c r="P684" s="107"/>
      <c r="Q684" s="107"/>
      <c r="R684" s="107"/>
      <c r="S684" s="108"/>
      <c r="T684" s="145">
        <v>107088.45364078002</v>
      </c>
      <c r="U684" s="23">
        <f t="shared" si="75"/>
        <v>3</v>
      </c>
    </row>
    <row r="685" spans="1:21" x14ac:dyDescent="0.25">
      <c r="A685" s="102">
        <f t="shared" si="78"/>
        <v>666</v>
      </c>
      <c r="B685" s="101">
        <f t="shared" si="77"/>
        <v>204</v>
      </c>
      <c r="C685" s="73" t="s">
        <v>45</v>
      </c>
      <c r="D685" s="120" t="s">
        <v>607</v>
      </c>
      <c r="E685" s="123">
        <f t="shared" si="76"/>
        <v>9473346.4440000001</v>
      </c>
      <c r="F685" s="107">
        <v>2602991.9676180002</v>
      </c>
      <c r="G685" s="107">
        <v>0</v>
      </c>
      <c r="H685" s="107">
        <v>753234.37967399997</v>
      </c>
      <c r="I685" s="107"/>
      <c r="J685" s="107">
        <v>0</v>
      </c>
      <c r="K685" s="107"/>
      <c r="L685" s="107">
        <v>227878.8628032</v>
      </c>
      <c r="M685" s="107">
        <v>0</v>
      </c>
      <c r="N685" s="107"/>
      <c r="O685" s="107">
        <v>0</v>
      </c>
      <c r="P685" s="107">
        <v>5686511.6200032001</v>
      </c>
      <c r="Q685" s="107"/>
      <c r="R685" s="107"/>
      <c r="S685" s="108"/>
      <c r="T685" s="145">
        <v>202729.61390160001</v>
      </c>
      <c r="U685" s="23">
        <f t="shared" si="75"/>
        <v>4</v>
      </c>
    </row>
    <row r="686" spans="1:21" x14ac:dyDescent="0.25">
      <c r="A686" s="102">
        <f t="shared" si="78"/>
        <v>667</v>
      </c>
      <c r="B686" s="101">
        <f t="shared" si="77"/>
        <v>205</v>
      </c>
      <c r="C686" s="73" t="s">
        <v>45</v>
      </c>
      <c r="D686" s="120" t="s">
        <v>617</v>
      </c>
      <c r="E686" s="123">
        <f t="shared" si="76"/>
        <v>18198573.6325</v>
      </c>
      <c r="F686" s="107">
        <v>3621078.2721119998</v>
      </c>
      <c r="G686" s="107">
        <v>1205189.5738415401</v>
      </c>
      <c r="H686" s="107">
        <v>1387071.4761120002</v>
      </c>
      <c r="I686" s="107">
        <v>876899.75830800005</v>
      </c>
      <c r="J686" s="107">
        <v>0</v>
      </c>
      <c r="K686" s="107"/>
      <c r="L686" s="107">
        <v>120530.94592896002</v>
      </c>
      <c r="M686" s="107">
        <v>0</v>
      </c>
      <c r="N686" s="107">
        <v>6781012.0992600005</v>
      </c>
      <c r="O686" s="107">
        <v>0</v>
      </c>
      <c r="P686" s="107">
        <v>0</v>
      </c>
      <c r="Q686" s="107">
        <v>3817342.0312019996</v>
      </c>
      <c r="R686" s="107"/>
      <c r="S686" s="108"/>
      <c r="T686" s="145">
        <v>389449.47573549999</v>
      </c>
      <c r="U686" s="23">
        <f t="shared" si="75"/>
        <v>7</v>
      </c>
    </row>
    <row r="687" spans="1:21" x14ac:dyDescent="0.25">
      <c r="A687" s="102">
        <f t="shared" si="78"/>
        <v>668</v>
      </c>
      <c r="B687" s="101">
        <f t="shared" si="77"/>
        <v>206</v>
      </c>
      <c r="C687" s="73" t="s">
        <v>45</v>
      </c>
      <c r="D687" s="120" t="s">
        <v>618</v>
      </c>
      <c r="E687" s="123">
        <f t="shared" si="76"/>
        <v>18481458.828001961</v>
      </c>
      <c r="F687" s="107">
        <v>3661472.2518719994</v>
      </c>
      <c r="G687" s="107">
        <v>1317876.0443460001</v>
      </c>
      <c r="H687" s="107">
        <v>1401977.6916540002</v>
      </c>
      <c r="I687" s="107">
        <v>886159.65735600004</v>
      </c>
      <c r="J687" s="107">
        <v>0</v>
      </c>
      <c r="K687" s="107"/>
      <c r="L687" s="107">
        <v>124380.97009799999</v>
      </c>
      <c r="M687" s="107">
        <v>0</v>
      </c>
      <c r="N687" s="107">
        <v>6856026.5788080012</v>
      </c>
      <c r="O687" s="107"/>
      <c r="P687" s="107"/>
      <c r="Q687" s="107">
        <v>3838143.5148840002</v>
      </c>
      <c r="R687" s="107"/>
      <c r="S687" s="107"/>
      <c r="T687" s="145">
        <v>395422.11898395995</v>
      </c>
      <c r="U687" s="23">
        <f t="shared" si="75"/>
        <v>7</v>
      </c>
    </row>
    <row r="688" spans="1:21" x14ac:dyDescent="0.25">
      <c r="A688" s="102">
        <f t="shared" si="78"/>
        <v>669</v>
      </c>
      <c r="B688" s="101">
        <f t="shared" si="77"/>
        <v>207</v>
      </c>
      <c r="C688" s="73" t="s">
        <v>45</v>
      </c>
      <c r="D688" s="120" t="s">
        <v>619</v>
      </c>
      <c r="E688" s="123">
        <f t="shared" si="76"/>
        <v>52108784.005023412</v>
      </c>
      <c r="F688" s="107">
        <v>10289258.887333037</v>
      </c>
      <c r="G688" s="107">
        <v>3743163.2397435009</v>
      </c>
      <c r="H688" s="107">
        <v>3946494.7367781834</v>
      </c>
      <c r="I688" s="107">
        <v>2525483.2241929346</v>
      </c>
      <c r="J688" s="107">
        <v>0</v>
      </c>
      <c r="K688" s="107"/>
      <c r="L688" s="107">
        <v>347129.27930819179</v>
      </c>
      <c r="M688" s="107">
        <v>0</v>
      </c>
      <c r="N688" s="107">
        <v>19311208.02055205</v>
      </c>
      <c r="O688" s="107">
        <v>0</v>
      </c>
      <c r="P688" s="107"/>
      <c r="Q688" s="107">
        <v>10831087.386440508</v>
      </c>
      <c r="R688" s="107"/>
      <c r="S688" s="107"/>
      <c r="T688" s="145">
        <v>1114959.2306750074</v>
      </c>
      <c r="U688" s="23">
        <f t="shared" si="75"/>
        <v>7</v>
      </c>
    </row>
    <row r="689" spans="1:22" x14ac:dyDescent="0.25">
      <c r="A689" s="102">
        <f t="shared" si="78"/>
        <v>670</v>
      </c>
      <c r="B689" s="101">
        <f t="shared" si="77"/>
        <v>208</v>
      </c>
      <c r="C689" s="73" t="s">
        <v>45</v>
      </c>
      <c r="D689" s="120" t="s">
        <v>620</v>
      </c>
      <c r="E689" s="123">
        <f t="shared" si="76"/>
        <v>53282617.340654321</v>
      </c>
      <c r="F689" s="107">
        <v>10537075.366258001</v>
      </c>
      <c r="G689" s="107">
        <v>3835013.4758320004</v>
      </c>
      <c r="H689" s="107">
        <v>4042843.3866100004</v>
      </c>
      <c r="I689" s="107">
        <v>2587058.6111860005</v>
      </c>
      <c r="J689" s="107">
        <v>0</v>
      </c>
      <c r="K689" s="107"/>
      <c r="L689" s="107">
        <v>355628.19171599997</v>
      </c>
      <c r="M689" s="107">
        <v>0</v>
      </c>
      <c r="N689" s="107">
        <v>19695633.831831999</v>
      </c>
      <c r="O689" s="107"/>
      <c r="P689" s="107"/>
      <c r="Q689" s="107">
        <v>11089164.4332</v>
      </c>
      <c r="R689" s="107"/>
      <c r="S689" s="107"/>
      <c r="T689" s="145">
        <v>1140200.0440203198</v>
      </c>
      <c r="U689" s="23">
        <f t="shared" si="75"/>
        <v>7</v>
      </c>
    </row>
    <row r="690" spans="1:22" x14ac:dyDescent="0.25">
      <c r="A690" s="102">
        <f t="shared" si="78"/>
        <v>671</v>
      </c>
      <c r="B690" s="101">
        <f t="shared" si="77"/>
        <v>209</v>
      </c>
      <c r="C690" s="73" t="s">
        <v>45</v>
      </c>
      <c r="D690" s="120" t="s">
        <v>621</v>
      </c>
      <c r="E690" s="123">
        <f t="shared" si="76"/>
        <v>19313313.5727886</v>
      </c>
      <c r="F690" s="107">
        <v>3823646.7931139995</v>
      </c>
      <c r="G690" s="107">
        <v>1377432.691104</v>
      </c>
      <c r="H690" s="107">
        <v>1464223.795434</v>
      </c>
      <c r="I690" s="107">
        <v>926339.45652600005</v>
      </c>
      <c r="J690" s="107">
        <v>0</v>
      </c>
      <c r="K690" s="107"/>
      <c r="L690" s="107">
        <v>129828.30785400001</v>
      </c>
      <c r="M690" s="107">
        <v>0</v>
      </c>
      <c r="N690" s="107">
        <v>7205871.6359640006</v>
      </c>
      <c r="O690" s="107"/>
      <c r="P690" s="107"/>
      <c r="Q690" s="107">
        <v>4008332.672693999</v>
      </c>
      <c r="R690" s="107"/>
      <c r="S690" s="107"/>
      <c r="T690" s="145">
        <v>377638.22009860002</v>
      </c>
      <c r="U690" s="23">
        <f t="shared" ref="U690:U721" si="79">COUNTIF(F690:Q690,"&gt;0")</f>
        <v>7</v>
      </c>
    </row>
    <row r="691" spans="1:22" x14ac:dyDescent="0.25">
      <c r="A691" s="102">
        <f t="shared" si="78"/>
        <v>672</v>
      </c>
      <c r="B691" s="101">
        <f t="shared" si="77"/>
        <v>210</v>
      </c>
      <c r="C691" s="73" t="s">
        <v>45</v>
      </c>
      <c r="D691" s="120" t="s">
        <v>622</v>
      </c>
      <c r="E691" s="123">
        <f t="shared" si="76"/>
        <v>46230178.072141834</v>
      </c>
      <c r="F691" s="107">
        <v>9150018.9223740008</v>
      </c>
      <c r="G691" s="107">
        <v>3322771.2370799994</v>
      </c>
      <c r="H691" s="107">
        <v>3507760.1149860001</v>
      </c>
      <c r="I691" s="107">
        <v>2240831.5174499997</v>
      </c>
      <c r="J691" s="107">
        <v>0</v>
      </c>
      <c r="K691" s="107"/>
      <c r="L691" s="107">
        <v>308956.957092</v>
      </c>
      <c r="M691" s="107">
        <v>0</v>
      </c>
      <c r="N691" s="107">
        <v>17090431.012025997</v>
      </c>
      <c r="O691" s="107"/>
      <c r="P691" s="107"/>
      <c r="Q691" s="107">
        <v>9620247.9809520002</v>
      </c>
      <c r="R691" s="107"/>
      <c r="S691" s="107"/>
      <c r="T691" s="145">
        <v>989160.33018183988</v>
      </c>
      <c r="U691" s="23">
        <f t="shared" si="79"/>
        <v>7</v>
      </c>
    </row>
    <row r="692" spans="1:22" x14ac:dyDescent="0.25">
      <c r="A692" s="102">
        <f t="shared" si="78"/>
        <v>673</v>
      </c>
      <c r="B692" s="101">
        <f t="shared" si="77"/>
        <v>211</v>
      </c>
      <c r="C692" s="73" t="s">
        <v>45</v>
      </c>
      <c r="D692" s="120" t="s">
        <v>623</v>
      </c>
      <c r="E692" s="123">
        <f t="shared" si="76"/>
        <v>18372220.31548094</v>
      </c>
      <c r="F692" s="107">
        <v>3639720.4511280004</v>
      </c>
      <c r="G692" s="107">
        <v>1310198.586234</v>
      </c>
      <c r="H692" s="107">
        <v>1393886.8533300001</v>
      </c>
      <c r="I692" s="107">
        <v>881139.78326399997</v>
      </c>
      <c r="J692" s="107">
        <v>0</v>
      </c>
      <c r="K692" s="107"/>
      <c r="L692" s="107">
        <v>123633.848142</v>
      </c>
      <c r="M692" s="107">
        <v>0</v>
      </c>
      <c r="N692" s="107">
        <v>6816774.9733499996</v>
      </c>
      <c r="O692" s="107"/>
      <c r="P692" s="107"/>
      <c r="Q692" s="107">
        <v>3815904.5950200004</v>
      </c>
      <c r="R692" s="107"/>
      <c r="S692" s="107"/>
      <c r="T692" s="145">
        <v>390961.22501294001</v>
      </c>
      <c r="U692" s="23">
        <f t="shared" si="79"/>
        <v>7</v>
      </c>
    </row>
    <row r="693" spans="1:22" x14ac:dyDescent="0.25">
      <c r="A693" s="102">
        <f t="shared" si="78"/>
        <v>674</v>
      </c>
      <c r="B693" s="101">
        <f t="shared" si="77"/>
        <v>212</v>
      </c>
      <c r="C693" s="73" t="s">
        <v>46</v>
      </c>
      <c r="D693" s="120" t="s">
        <v>657</v>
      </c>
      <c r="E693" s="123">
        <f t="shared" si="76"/>
        <v>24641314.833105583</v>
      </c>
      <c r="F693" s="107">
        <v>11569017.916302199</v>
      </c>
      <c r="G693" s="107">
        <v>0</v>
      </c>
      <c r="H693" s="107">
        <v>0</v>
      </c>
      <c r="I693" s="107">
        <v>0</v>
      </c>
      <c r="J693" s="107">
        <v>0</v>
      </c>
      <c r="K693" s="107"/>
      <c r="L693" s="107">
        <v>381912.63386907097</v>
      </c>
      <c r="M693" s="107">
        <v>0</v>
      </c>
      <c r="N693" s="107">
        <v>0</v>
      </c>
      <c r="O693" s="107">
        <v>0</v>
      </c>
      <c r="P693" s="107">
        <v>0</v>
      </c>
      <c r="Q693" s="107">
        <v>12188783.156028476</v>
      </c>
      <c r="R693" s="107"/>
      <c r="S693" s="108"/>
      <c r="T693" s="145">
        <v>501601.12690584006</v>
      </c>
      <c r="U693" s="23">
        <f t="shared" si="79"/>
        <v>3</v>
      </c>
    </row>
    <row r="694" spans="1:22" x14ac:dyDescent="0.25">
      <c r="A694" s="102">
        <f t="shared" si="78"/>
        <v>675</v>
      </c>
      <c r="B694" s="101">
        <f t="shared" si="77"/>
        <v>213</v>
      </c>
      <c r="C694" s="73" t="s">
        <v>46</v>
      </c>
      <c r="D694" s="120" t="s">
        <v>639</v>
      </c>
      <c r="E694" s="123">
        <f t="shared" si="76"/>
        <v>5271181.1505000005</v>
      </c>
      <c r="F694" s="107"/>
      <c r="G694" s="107"/>
      <c r="H694" s="107"/>
      <c r="I694" s="107"/>
      <c r="J694" s="107">
        <v>0</v>
      </c>
      <c r="K694" s="107"/>
      <c r="L694" s="107"/>
      <c r="M694" s="107">
        <v>0</v>
      </c>
      <c r="N694" s="107"/>
      <c r="O694" s="107">
        <v>0</v>
      </c>
      <c r="P694" s="107"/>
      <c r="Q694" s="107">
        <v>5158377.8738793004</v>
      </c>
      <c r="R694" s="107"/>
      <c r="S694" s="108"/>
      <c r="T694" s="145">
        <v>112803.27662070002</v>
      </c>
      <c r="U694" s="23">
        <f t="shared" si="79"/>
        <v>1</v>
      </c>
    </row>
    <row r="695" spans="1:22" x14ac:dyDescent="0.25">
      <c r="A695" s="102">
        <f t="shared" si="78"/>
        <v>676</v>
      </c>
      <c r="B695" s="101">
        <f t="shared" si="77"/>
        <v>214</v>
      </c>
      <c r="C695" s="73" t="s">
        <v>46</v>
      </c>
      <c r="D695" s="120" t="s">
        <v>658</v>
      </c>
      <c r="E695" s="123">
        <f t="shared" si="76"/>
        <v>7182720</v>
      </c>
      <c r="F695" s="107"/>
      <c r="G695" s="107"/>
      <c r="H695" s="107"/>
      <c r="I695" s="107"/>
      <c r="J695" s="107"/>
      <c r="K695" s="107"/>
      <c r="L695" s="107"/>
      <c r="M695" s="107">
        <f>7182720-R695-S695-T695</f>
        <v>6903600.9078471232</v>
      </c>
      <c r="N695" s="107"/>
      <c r="O695" s="107"/>
      <c r="P695" s="107"/>
      <c r="Q695" s="107"/>
      <c r="R695" s="107">
        <v>104919.11907839999</v>
      </c>
      <c r="S695" s="108">
        <v>24000</v>
      </c>
      <c r="T695" s="145">
        <v>150199.97307447705</v>
      </c>
      <c r="U695" s="23">
        <f t="shared" si="79"/>
        <v>1</v>
      </c>
    </row>
    <row r="696" spans="1:22" x14ac:dyDescent="0.25">
      <c r="A696" s="102">
        <f t="shared" si="78"/>
        <v>677</v>
      </c>
      <c r="B696" s="101">
        <f t="shared" si="77"/>
        <v>215</v>
      </c>
      <c r="C696" s="73" t="s">
        <v>46</v>
      </c>
      <c r="D696" s="120" t="s">
        <v>640</v>
      </c>
      <c r="E696" s="123">
        <f t="shared" si="76"/>
        <v>7182720</v>
      </c>
      <c r="F696" s="107"/>
      <c r="G696" s="107"/>
      <c r="H696" s="107"/>
      <c r="I696" s="107"/>
      <c r="J696" s="107"/>
      <c r="K696" s="107"/>
      <c r="L696" s="107"/>
      <c r="M696" s="107">
        <v>6868490.3575085625</v>
      </c>
      <c r="N696" s="107"/>
      <c r="O696" s="107"/>
      <c r="P696" s="107"/>
      <c r="Q696" s="107"/>
      <c r="R696" s="107">
        <v>140029.66941696001</v>
      </c>
      <c r="S696" s="108">
        <v>24000</v>
      </c>
      <c r="T696" s="145">
        <v>150199.97307447705</v>
      </c>
      <c r="U696" s="23">
        <f t="shared" si="79"/>
        <v>1</v>
      </c>
    </row>
    <row r="697" spans="1:22" x14ac:dyDescent="0.25">
      <c r="A697" s="102">
        <f t="shared" si="78"/>
        <v>678</v>
      </c>
      <c r="B697" s="101">
        <f t="shared" si="77"/>
        <v>216</v>
      </c>
      <c r="C697" s="73" t="s">
        <v>46</v>
      </c>
      <c r="D697" s="120" t="s">
        <v>659</v>
      </c>
      <c r="E697" s="123">
        <f t="shared" si="76"/>
        <v>134881504.72058806</v>
      </c>
      <c r="F697" s="107">
        <v>18516250.189579763</v>
      </c>
      <c r="G697" s="107">
        <v>12707765.989702664</v>
      </c>
      <c r="H697" s="107">
        <v>7735463.9302031901</v>
      </c>
      <c r="I697" s="107">
        <v>6979169.1559419436</v>
      </c>
      <c r="J697" s="107">
        <v>0</v>
      </c>
      <c r="K697" s="107"/>
      <c r="L697" s="107">
        <v>890798.91763439786</v>
      </c>
      <c r="M697" s="107">
        <v>6747849.40032</v>
      </c>
      <c r="N697" s="107">
        <v>0</v>
      </c>
      <c r="O697" s="107">
        <v>0</v>
      </c>
      <c r="P697" s="107">
        <v>78417742.936185494</v>
      </c>
      <c r="Q697" s="107">
        <v>0</v>
      </c>
      <c r="R697" s="107"/>
      <c r="S697" s="108"/>
      <c r="T697" s="145">
        <v>2886464.201020584</v>
      </c>
      <c r="U697" s="23">
        <f t="shared" si="79"/>
        <v>7</v>
      </c>
      <c r="V697" s="41" t="s">
        <v>245</v>
      </c>
    </row>
    <row r="698" spans="1:22" x14ac:dyDescent="0.25">
      <c r="A698" s="102">
        <f t="shared" si="78"/>
        <v>679</v>
      </c>
      <c r="B698" s="101">
        <f t="shared" si="77"/>
        <v>217</v>
      </c>
      <c r="C698" s="73" t="s">
        <v>46</v>
      </c>
      <c r="D698" s="120" t="s">
        <v>660</v>
      </c>
      <c r="E698" s="123">
        <f t="shared" si="76"/>
        <v>2305199.3400000003</v>
      </c>
      <c r="F698" s="107">
        <v>0</v>
      </c>
      <c r="G698" s="107">
        <v>0</v>
      </c>
      <c r="H698" s="107">
        <v>0</v>
      </c>
      <c r="I698" s="107">
        <v>0</v>
      </c>
      <c r="J698" s="107">
        <v>0</v>
      </c>
      <c r="K698" s="107"/>
      <c r="L698" s="107"/>
      <c r="M698" s="107">
        <v>0</v>
      </c>
      <c r="N698" s="107">
        <v>2255868.0741240005</v>
      </c>
      <c r="O698" s="107">
        <v>0</v>
      </c>
      <c r="P698" s="107">
        <v>0</v>
      </c>
      <c r="Q698" s="107">
        <v>0</v>
      </c>
      <c r="R698" s="107"/>
      <c r="S698" s="108"/>
      <c r="T698" s="145">
        <v>49331.265876000012</v>
      </c>
      <c r="U698" s="23">
        <f t="shared" si="79"/>
        <v>1</v>
      </c>
    </row>
    <row r="699" spans="1:22" x14ac:dyDescent="0.25">
      <c r="A699" s="102">
        <f t="shared" si="78"/>
        <v>680</v>
      </c>
      <c r="B699" s="101">
        <f t="shared" si="77"/>
        <v>218</v>
      </c>
      <c r="C699" s="73" t="s">
        <v>46</v>
      </c>
      <c r="D699" s="120" t="s">
        <v>176</v>
      </c>
      <c r="E699" s="123">
        <f t="shared" si="76"/>
        <v>22037286.195506003</v>
      </c>
      <c r="F699" s="107">
        <v>7338416.0047800001</v>
      </c>
      <c r="G699" s="107"/>
      <c r="H699" s="107"/>
      <c r="I699" s="107"/>
      <c r="J699" s="107">
        <v>0</v>
      </c>
      <c r="K699" s="107"/>
      <c r="L699" s="107">
        <v>222240.79473288002</v>
      </c>
      <c r="M699" s="107">
        <v>0</v>
      </c>
      <c r="N699" s="107">
        <v>14005782.708666001</v>
      </c>
      <c r="O699" s="107">
        <v>0</v>
      </c>
      <c r="P699" s="107">
        <v>0</v>
      </c>
      <c r="Q699" s="107">
        <v>0</v>
      </c>
      <c r="R699" s="107"/>
      <c r="S699" s="108"/>
      <c r="T699" s="145">
        <v>470846.6873271201</v>
      </c>
      <c r="U699" s="23">
        <f t="shared" si="79"/>
        <v>3</v>
      </c>
    </row>
    <row r="700" spans="1:22" x14ac:dyDescent="0.25">
      <c r="A700" s="102">
        <f t="shared" si="78"/>
        <v>681</v>
      </c>
      <c r="B700" s="101">
        <f t="shared" si="77"/>
        <v>219</v>
      </c>
      <c r="C700" s="73" t="s">
        <v>46</v>
      </c>
      <c r="D700" s="120" t="s">
        <v>177</v>
      </c>
      <c r="E700" s="123">
        <f t="shared" si="76"/>
        <v>30938743.942612</v>
      </c>
      <c r="F700" s="107">
        <v>6541685.2820339995</v>
      </c>
      <c r="G700" s="107">
        <v>4051261.6039140001</v>
      </c>
      <c r="H700" s="107"/>
      <c r="I700" s="107"/>
      <c r="J700" s="107">
        <v>0</v>
      </c>
      <c r="K700" s="107"/>
      <c r="L700" s="107">
        <v>511593.88939176005</v>
      </c>
      <c r="M700" s="107">
        <v>0</v>
      </c>
      <c r="N700" s="107">
        <v>19172709.856734</v>
      </c>
      <c r="O700" s="107">
        <v>0</v>
      </c>
      <c r="P700" s="107">
        <v>0</v>
      </c>
      <c r="Q700" s="107">
        <v>0</v>
      </c>
      <c r="R700" s="107"/>
      <c r="S700" s="108"/>
      <c r="T700" s="145">
        <v>661493.31053824001</v>
      </c>
      <c r="U700" s="23">
        <f t="shared" si="79"/>
        <v>4</v>
      </c>
    </row>
    <row r="701" spans="1:22" x14ac:dyDescent="0.25">
      <c r="A701" s="102">
        <f t="shared" si="78"/>
        <v>682</v>
      </c>
      <c r="B701" s="101">
        <f t="shared" si="77"/>
        <v>220</v>
      </c>
      <c r="C701" s="73" t="s">
        <v>46</v>
      </c>
      <c r="D701" s="120" t="s">
        <v>178</v>
      </c>
      <c r="E701" s="123">
        <f t="shared" si="76"/>
        <v>11150428.548839999</v>
      </c>
      <c r="F701" s="107">
        <v>3724324.4375819997</v>
      </c>
      <c r="G701" s="107"/>
      <c r="H701" s="107"/>
      <c r="I701" s="107"/>
      <c r="J701" s="107">
        <v>0</v>
      </c>
      <c r="K701" s="107"/>
      <c r="L701" s="107">
        <v>113301.62983020001</v>
      </c>
      <c r="M701" s="107">
        <v>0</v>
      </c>
      <c r="N701" s="107">
        <v>7074795.119616</v>
      </c>
      <c r="O701" s="107">
        <v>0</v>
      </c>
      <c r="P701" s="107">
        <v>0</v>
      </c>
      <c r="Q701" s="107">
        <v>0</v>
      </c>
      <c r="R701" s="107"/>
      <c r="S701" s="108"/>
      <c r="T701" s="145">
        <v>238007.36181180002</v>
      </c>
      <c r="U701" s="23">
        <f t="shared" si="79"/>
        <v>3</v>
      </c>
    </row>
    <row r="702" spans="1:22" x14ac:dyDescent="0.25">
      <c r="A702" s="102">
        <f t="shared" si="78"/>
        <v>683</v>
      </c>
      <c r="B702" s="101">
        <f t="shared" si="77"/>
        <v>221</v>
      </c>
      <c r="C702" s="73" t="s">
        <v>46</v>
      </c>
      <c r="D702" s="120" t="s">
        <v>179</v>
      </c>
      <c r="E702" s="123">
        <f t="shared" si="76"/>
        <v>11026809.225987999</v>
      </c>
      <c r="F702" s="107">
        <v>6357413.6689979993</v>
      </c>
      <c r="G702" s="107">
        <v>3936738.962142</v>
      </c>
      <c r="H702" s="107"/>
      <c r="I702" s="107"/>
      <c r="J702" s="107">
        <v>0</v>
      </c>
      <c r="K702" s="107"/>
      <c r="L702" s="107">
        <v>497262.94218215998</v>
      </c>
      <c r="M702" s="107">
        <v>0</v>
      </c>
      <c r="N702" s="107">
        <v>0</v>
      </c>
      <c r="O702" s="107">
        <v>0</v>
      </c>
      <c r="P702" s="107">
        <v>0</v>
      </c>
      <c r="Q702" s="107">
        <v>0</v>
      </c>
      <c r="R702" s="107"/>
      <c r="S702" s="108"/>
      <c r="T702" s="145">
        <v>235393.65266584005</v>
      </c>
      <c r="U702" s="23">
        <f t="shared" si="79"/>
        <v>3</v>
      </c>
    </row>
    <row r="703" spans="1:22" x14ac:dyDescent="0.25">
      <c r="A703" s="102">
        <f t="shared" si="78"/>
        <v>684</v>
      </c>
      <c r="B703" s="101">
        <f t="shared" si="77"/>
        <v>222</v>
      </c>
      <c r="C703" s="73" t="s">
        <v>46</v>
      </c>
      <c r="D703" s="120" t="s">
        <v>661</v>
      </c>
      <c r="E703" s="123">
        <f t="shared" si="76"/>
        <v>21548160</v>
      </c>
      <c r="F703" s="107"/>
      <c r="G703" s="107"/>
      <c r="H703" s="107"/>
      <c r="I703" s="107"/>
      <c r="J703" s="107"/>
      <c r="K703" s="107"/>
      <c r="L703" s="107"/>
      <c r="M703" s="107">
        <v>20805246.184281066</v>
      </c>
      <c r="N703" s="107"/>
      <c r="O703" s="107"/>
      <c r="P703" s="107"/>
      <c r="Q703" s="107"/>
      <c r="R703" s="107">
        <v>263945.2194144</v>
      </c>
      <c r="S703" s="108">
        <v>24000</v>
      </c>
      <c r="T703" s="145">
        <v>454968.59630453185</v>
      </c>
      <c r="U703" s="23">
        <f t="shared" si="79"/>
        <v>1</v>
      </c>
    </row>
    <row r="704" spans="1:22" x14ac:dyDescent="0.25">
      <c r="A704" s="102">
        <f t="shared" si="78"/>
        <v>685</v>
      </c>
      <c r="B704" s="101">
        <f t="shared" si="77"/>
        <v>223</v>
      </c>
      <c r="C704" s="73" t="s">
        <v>46</v>
      </c>
      <c r="D704" s="120" t="s">
        <v>233</v>
      </c>
      <c r="E704" s="123">
        <f t="shared" si="76"/>
        <v>4064823.6560380002</v>
      </c>
      <c r="F704" s="107">
        <v>3860931.116196</v>
      </c>
      <c r="G704" s="107"/>
      <c r="H704" s="107"/>
      <c r="I704" s="107"/>
      <c r="J704" s="107">
        <v>0</v>
      </c>
      <c r="K704" s="107"/>
      <c r="L704" s="107">
        <v>117503.58224136</v>
      </c>
      <c r="M704" s="107">
        <v>0</v>
      </c>
      <c r="N704" s="107">
        <v>0</v>
      </c>
      <c r="O704" s="107">
        <v>0</v>
      </c>
      <c r="P704" s="107">
        <v>0</v>
      </c>
      <c r="Q704" s="107">
        <v>0</v>
      </c>
      <c r="R704" s="107"/>
      <c r="S704" s="108"/>
      <c r="T704" s="145">
        <v>86388.957600640002</v>
      </c>
      <c r="U704" s="23">
        <f t="shared" si="79"/>
        <v>2</v>
      </c>
    </row>
    <row r="705" spans="1:21" x14ac:dyDescent="0.25">
      <c r="A705" s="102">
        <f t="shared" si="78"/>
        <v>686</v>
      </c>
      <c r="B705" s="101">
        <f t="shared" si="77"/>
        <v>224</v>
      </c>
      <c r="C705" s="73" t="s">
        <v>46</v>
      </c>
      <c r="D705" s="120" t="s">
        <v>181</v>
      </c>
      <c r="E705" s="123">
        <f t="shared" si="76"/>
        <v>11763667.369848</v>
      </c>
      <c r="F705" s="107">
        <v>3907411.9739759997</v>
      </c>
      <c r="G705" s="107"/>
      <c r="H705" s="107"/>
      <c r="I705" s="107"/>
      <c r="J705" s="107">
        <v>0</v>
      </c>
      <c r="K705" s="107"/>
      <c r="L705" s="107">
        <v>118919.97069456</v>
      </c>
      <c r="M705" s="107">
        <v>0</v>
      </c>
      <c r="N705" s="107">
        <v>7486206.9364320002</v>
      </c>
      <c r="O705" s="107">
        <v>0</v>
      </c>
      <c r="P705" s="107">
        <v>0</v>
      </c>
      <c r="Q705" s="107">
        <v>0</v>
      </c>
      <c r="R705" s="107"/>
      <c r="S705" s="108"/>
      <c r="T705" s="145">
        <v>251128.48874544003</v>
      </c>
      <c r="U705" s="23">
        <f t="shared" si="79"/>
        <v>3</v>
      </c>
    </row>
    <row r="706" spans="1:21" x14ac:dyDescent="0.25">
      <c r="A706" s="102">
        <f t="shared" si="78"/>
        <v>687</v>
      </c>
      <c r="B706" s="101">
        <f t="shared" si="77"/>
        <v>225</v>
      </c>
      <c r="C706" s="73" t="s">
        <v>46</v>
      </c>
      <c r="D706" s="120" t="s">
        <v>182</v>
      </c>
      <c r="E706" s="123">
        <f t="shared" si="76"/>
        <v>4323468.3701106058</v>
      </c>
      <c r="F706" s="107">
        <v>4106659.8973992136</v>
      </c>
      <c r="G706" s="107">
        <v>0</v>
      </c>
      <c r="H706" s="107"/>
      <c r="I706" s="107">
        <v>0</v>
      </c>
      <c r="J706" s="107">
        <v>0</v>
      </c>
      <c r="K706" s="107"/>
      <c r="L706" s="107">
        <v>124902.41131799489</v>
      </c>
      <c r="M706" s="107">
        <v>0</v>
      </c>
      <c r="N706" s="107"/>
      <c r="O706" s="107">
        <v>0</v>
      </c>
      <c r="P706" s="107">
        <v>0</v>
      </c>
      <c r="Q706" s="107">
        <v>0</v>
      </c>
      <c r="R706" s="107"/>
      <c r="S706" s="108"/>
      <c r="T706" s="145">
        <v>91906.061393397351</v>
      </c>
      <c r="U706" s="23">
        <f t="shared" si="79"/>
        <v>2</v>
      </c>
    </row>
    <row r="707" spans="1:21" x14ac:dyDescent="0.25">
      <c r="A707" s="102">
        <f t="shared" si="78"/>
        <v>688</v>
      </c>
      <c r="B707" s="101">
        <f t="shared" si="77"/>
        <v>226</v>
      </c>
      <c r="C707" s="73" t="s">
        <v>46</v>
      </c>
      <c r="D707" s="120" t="s">
        <v>662</v>
      </c>
      <c r="E707" s="123">
        <f t="shared" si="76"/>
        <v>16319133.116</v>
      </c>
      <c r="F707" s="107">
        <v>4903713.1158539997</v>
      </c>
      <c r="G707" s="107">
        <v>3409820.697402</v>
      </c>
      <c r="H707" s="107">
        <v>0</v>
      </c>
      <c r="I707" s="107">
        <v>1911644.1932280001</v>
      </c>
      <c r="J707" s="107">
        <v>0</v>
      </c>
      <c r="K707" s="107"/>
      <c r="L707" s="107">
        <v>218511.8445216</v>
      </c>
      <c r="M707" s="107">
        <v>0</v>
      </c>
      <c r="N707" s="107"/>
      <c r="O707" s="107"/>
      <c r="P707" s="107"/>
      <c r="Q707" s="107">
        <v>5526213.8163120002</v>
      </c>
      <c r="R707" s="107"/>
      <c r="S707" s="108"/>
      <c r="T707" s="145">
        <v>349229.44868240005</v>
      </c>
      <c r="U707" s="23">
        <f t="shared" si="79"/>
        <v>5</v>
      </c>
    </row>
    <row r="708" spans="1:21" x14ac:dyDescent="0.25">
      <c r="A708" s="102">
        <f t="shared" si="78"/>
        <v>689</v>
      </c>
      <c r="B708" s="101">
        <f t="shared" si="77"/>
        <v>227</v>
      </c>
      <c r="C708" s="73" t="s">
        <v>46</v>
      </c>
      <c r="D708" s="120" t="s">
        <v>183</v>
      </c>
      <c r="E708" s="123">
        <f t="shared" si="76"/>
        <v>9116126.8326507602</v>
      </c>
      <c r="F708" s="107">
        <v>6199194.5115240002</v>
      </c>
      <c r="G708" s="107">
        <v>2285392.4459100002</v>
      </c>
      <c r="H708" s="107"/>
      <c r="I708" s="107"/>
      <c r="J708" s="107">
        <v>0</v>
      </c>
      <c r="K708" s="107"/>
      <c r="L708" s="107">
        <v>187860.32184275999</v>
      </c>
      <c r="M708" s="107">
        <v>0</v>
      </c>
      <c r="N708" s="107"/>
      <c r="O708" s="107">
        <v>0</v>
      </c>
      <c r="P708" s="107">
        <v>0</v>
      </c>
      <c r="Q708" s="107">
        <v>0</v>
      </c>
      <c r="R708" s="107"/>
      <c r="S708" s="108"/>
      <c r="T708" s="145">
        <v>443679.55337399995</v>
      </c>
      <c r="U708" s="23">
        <f t="shared" si="79"/>
        <v>3</v>
      </c>
    </row>
    <row r="709" spans="1:21" x14ac:dyDescent="0.25">
      <c r="A709" s="102">
        <f t="shared" si="78"/>
        <v>690</v>
      </c>
      <c r="B709" s="101">
        <f t="shared" si="77"/>
        <v>228</v>
      </c>
      <c r="C709" s="73" t="s">
        <v>46</v>
      </c>
      <c r="D709" s="120" t="s">
        <v>184</v>
      </c>
      <c r="E709" s="123">
        <f t="shared" si="76"/>
        <v>4191335.3761740001</v>
      </c>
      <c r="F709" s="107">
        <v>3982032.6019740002</v>
      </c>
      <c r="G709" s="107"/>
      <c r="H709" s="107"/>
      <c r="I709" s="107"/>
      <c r="J709" s="107">
        <v>0</v>
      </c>
      <c r="K709" s="107"/>
      <c r="L709" s="107">
        <v>121162.59054059999</v>
      </c>
      <c r="M709" s="107">
        <v>0</v>
      </c>
      <c r="N709" s="107"/>
      <c r="O709" s="107">
        <v>0</v>
      </c>
      <c r="P709" s="107">
        <v>0</v>
      </c>
      <c r="Q709" s="107">
        <v>0</v>
      </c>
      <c r="R709" s="107"/>
      <c r="S709" s="108"/>
      <c r="T709" s="145">
        <v>88140.183659400005</v>
      </c>
      <c r="U709" s="23">
        <f t="shared" si="79"/>
        <v>2</v>
      </c>
    </row>
    <row r="710" spans="1:21" x14ac:dyDescent="0.25">
      <c r="A710" s="102">
        <f t="shared" si="78"/>
        <v>691</v>
      </c>
      <c r="B710" s="101">
        <f t="shared" si="77"/>
        <v>229</v>
      </c>
      <c r="C710" s="73" t="s">
        <v>46</v>
      </c>
      <c r="D710" s="120" t="s">
        <v>185</v>
      </c>
      <c r="E710" s="123">
        <f t="shared" si="76"/>
        <v>3861710.0242000003</v>
      </c>
      <c r="F710" s="107">
        <v>3658298.7075726003</v>
      </c>
      <c r="G710" s="107"/>
      <c r="H710" s="107"/>
      <c r="I710" s="107"/>
      <c r="J710" s="107">
        <v>0</v>
      </c>
      <c r="K710" s="107"/>
      <c r="L710" s="107">
        <v>120770.72210951999</v>
      </c>
      <c r="M710" s="107">
        <v>0</v>
      </c>
      <c r="N710" s="107"/>
      <c r="O710" s="107">
        <v>0</v>
      </c>
      <c r="P710" s="107">
        <v>0</v>
      </c>
      <c r="Q710" s="107">
        <v>0</v>
      </c>
      <c r="R710" s="107"/>
      <c r="S710" s="108"/>
      <c r="T710" s="145">
        <v>82640.594517880003</v>
      </c>
      <c r="U710" s="23">
        <f t="shared" si="79"/>
        <v>2</v>
      </c>
    </row>
    <row r="711" spans="1:21" x14ac:dyDescent="0.25">
      <c r="A711" s="102">
        <f t="shared" si="78"/>
        <v>692</v>
      </c>
      <c r="B711" s="101">
        <f t="shared" si="77"/>
        <v>230</v>
      </c>
      <c r="C711" s="73" t="s">
        <v>46</v>
      </c>
      <c r="D711" s="120" t="s">
        <v>186</v>
      </c>
      <c r="E711" s="123">
        <f t="shared" si="76"/>
        <v>3861106.1622000006</v>
      </c>
      <c r="F711" s="107">
        <v>3657726.6514807204</v>
      </c>
      <c r="G711" s="107"/>
      <c r="H711" s="107"/>
      <c r="I711" s="107"/>
      <c r="J711" s="107">
        <v>0</v>
      </c>
      <c r="K711" s="107"/>
      <c r="L711" s="107">
        <v>120751.8388482</v>
      </c>
      <c r="M711" s="107">
        <v>0</v>
      </c>
      <c r="N711" s="107"/>
      <c r="O711" s="107">
        <v>0</v>
      </c>
      <c r="P711" s="107">
        <v>0</v>
      </c>
      <c r="Q711" s="107">
        <v>0</v>
      </c>
      <c r="R711" s="107"/>
      <c r="S711" s="108"/>
      <c r="T711" s="145">
        <v>82627.671871080005</v>
      </c>
      <c r="U711" s="23">
        <f t="shared" si="79"/>
        <v>2</v>
      </c>
    </row>
    <row r="712" spans="1:21" x14ac:dyDescent="0.25">
      <c r="A712" s="102">
        <f t="shared" si="78"/>
        <v>693</v>
      </c>
      <c r="B712" s="101">
        <f t="shared" si="77"/>
        <v>231</v>
      </c>
      <c r="C712" s="73" t="s">
        <v>46</v>
      </c>
      <c r="D712" s="120" t="s">
        <v>189</v>
      </c>
      <c r="E712" s="123">
        <f t="shared" si="76"/>
        <v>4238137.3835959993</v>
      </c>
      <c r="F712" s="107">
        <v>4026579.3155699996</v>
      </c>
      <c r="G712" s="107"/>
      <c r="H712" s="107"/>
      <c r="I712" s="107"/>
      <c r="J712" s="107">
        <v>0</v>
      </c>
      <c r="K712" s="107"/>
      <c r="L712" s="107">
        <v>122527.0476276</v>
      </c>
      <c r="M712" s="107">
        <v>0</v>
      </c>
      <c r="N712" s="107"/>
      <c r="O712" s="107">
        <v>0</v>
      </c>
      <c r="P712" s="107">
        <v>0</v>
      </c>
      <c r="Q712" s="107">
        <v>0</v>
      </c>
      <c r="R712" s="107"/>
      <c r="S712" s="108"/>
      <c r="T712" s="145">
        <v>89031.020398399996</v>
      </c>
      <c r="U712" s="23">
        <f t="shared" si="79"/>
        <v>2</v>
      </c>
    </row>
    <row r="713" spans="1:21" x14ac:dyDescent="0.25">
      <c r="A713" s="102">
        <f t="shared" si="78"/>
        <v>694</v>
      </c>
      <c r="B713" s="101">
        <f t="shared" si="77"/>
        <v>232</v>
      </c>
      <c r="C713" s="73" t="s">
        <v>46</v>
      </c>
      <c r="D713" s="120" t="s">
        <v>190</v>
      </c>
      <c r="E713" s="123">
        <f t="shared" si="76"/>
        <v>4089147.5498060002</v>
      </c>
      <c r="F713" s="107">
        <v>3885914.2848959998</v>
      </c>
      <c r="G713" s="107"/>
      <c r="H713" s="107"/>
      <c r="I713" s="107"/>
      <c r="J713" s="107">
        <v>0</v>
      </c>
      <c r="K713" s="107"/>
      <c r="L713" s="107">
        <v>118276.93283028001</v>
      </c>
      <c r="M713" s="107">
        <v>0</v>
      </c>
      <c r="N713" s="107"/>
      <c r="O713" s="107">
        <v>0</v>
      </c>
      <c r="P713" s="107">
        <v>0</v>
      </c>
      <c r="Q713" s="107">
        <v>0</v>
      </c>
      <c r="R713" s="107"/>
      <c r="S713" s="108"/>
      <c r="T713" s="145">
        <v>84956.332079719999</v>
      </c>
      <c r="U713" s="23">
        <f t="shared" si="79"/>
        <v>2</v>
      </c>
    </row>
    <row r="714" spans="1:21" x14ac:dyDescent="0.25">
      <c r="A714" s="102">
        <f t="shared" si="78"/>
        <v>695</v>
      </c>
      <c r="B714" s="101">
        <f t="shared" si="77"/>
        <v>233</v>
      </c>
      <c r="C714" s="73" t="s">
        <v>46</v>
      </c>
      <c r="D714" s="120" t="s">
        <v>192</v>
      </c>
      <c r="E714" s="123">
        <f t="shared" si="76"/>
        <v>4157310.9491940001</v>
      </c>
      <c r="F714" s="107">
        <v>3950676.9662219998</v>
      </c>
      <c r="G714" s="107"/>
      <c r="H714" s="107"/>
      <c r="I714" s="107"/>
      <c r="J714" s="107">
        <v>0</v>
      </c>
      <c r="K714" s="107"/>
      <c r="L714" s="107">
        <v>120223.04998956002</v>
      </c>
      <c r="M714" s="107">
        <v>0</v>
      </c>
      <c r="N714" s="107"/>
      <c r="O714" s="107">
        <v>0</v>
      </c>
      <c r="P714" s="107">
        <v>0</v>
      </c>
      <c r="Q714" s="107">
        <v>0</v>
      </c>
      <c r="R714" s="107"/>
      <c r="S714" s="108"/>
      <c r="T714" s="145">
        <v>86410.93298243999</v>
      </c>
      <c r="U714" s="23">
        <f t="shared" si="79"/>
        <v>2</v>
      </c>
    </row>
    <row r="715" spans="1:21" x14ac:dyDescent="0.25">
      <c r="A715" s="102">
        <f t="shared" si="78"/>
        <v>696</v>
      </c>
      <c r="B715" s="101">
        <f t="shared" si="77"/>
        <v>234</v>
      </c>
      <c r="C715" s="73" t="s">
        <v>46</v>
      </c>
      <c r="D715" s="120" t="s">
        <v>191</v>
      </c>
      <c r="E715" s="123">
        <f t="shared" si="76"/>
        <v>3931333.1229040008</v>
      </c>
      <c r="F715" s="107">
        <v>3735025.2035040008</v>
      </c>
      <c r="G715" s="107"/>
      <c r="H715" s="107"/>
      <c r="I715" s="107"/>
      <c r="J715" s="107">
        <v>0</v>
      </c>
      <c r="K715" s="107"/>
      <c r="L715" s="107">
        <v>113745.43921776001</v>
      </c>
      <c r="M715" s="107">
        <v>0</v>
      </c>
      <c r="N715" s="107"/>
      <c r="O715" s="107">
        <v>0</v>
      </c>
      <c r="P715" s="107">
        <v>0</v>
      </c>
      <c r="Q715" s="107">
        <v>0</v>
      </c>
      <c r="R715" s="107"/>
      <c r="S715" s="108"/>
      <c r="T715" s="145">
        <v>82562.480182240004</v>
      </c>
      <c r="U715" s="23">
        <f t="shared" si="79"/>
        <v>2</v>
      </c>
    </row>
    <row r="716" spans="1:21" x14ac:dyDescent="0.25">
      <c r="A716" s="102">
        <f t="shared" si="78"/>
        <v>697</v>
      </c>
      <c r="B716" s="101">
        <f t="shared" si="77"/>
        <v>235</v>
      </c>
      <c r="C716" s="73" t="s">
        <v>46</v>
      </c>
      <c r="D716" s="120" t="s">
        <v>648</v>
      </c>
      <c r="E716" s="123">
        <f t="shared" si="76"/>
        <v>21500334.586100001</v>
      </c>
      <c r="F716" s="107"/>
      <c r="G716" s="107"/>
      <c r="H716" s="107"/>
      <c r="I716" s="107">
        <v>5320168.0919898003</v>
      </c>
      <c r="J716" s="107">
        <v>0</v>
      </c>
      <c r="K716" s="107"/>
      <c r="L716" s="107"/>
      <c r="M716" s="107">
        <v>0</v>
      </c>
      <c r="N716" s="107"/>
      <c r="O716" s="107">
        <v>0</v>
      </c>
      <c r="P716" s="107"/>
      <c r="Q716" s="107">
        <v>15720059.33396766</v>
      </c>
      <c r="R716" s="107"/>
      <c r="S716" s="108"/>
      <c r="T716" s="145">
        <v>460107.16014254006</v>
      </c>
      <c r="U716" s="23">
        <f t="shared" si="79"/>
        <v>2</v>
      </c>
    </row>
    <row r="717" spans="1:21" x14ac:dyDescent="0.25">
      <c r="A717" s="102">
        <f t="shared" si="78"/>
        <v>698</v>
      </c>
      <c r="B717" s="101">
        <f t="shared" si="77"/>
        <v>236</v>
      </c>
      <c r="C717" s="73" t="s">
        <v>46</v>
      </c>
      <c r="D717" s="120" t="s">
        <v>663</v>
      </c>
      <c r="E717" s="123">
        <f t="shared" si="76"/>
        <v>51456537.748100005</v>
      </c>
      <c r="F717" s="107">
        <v>13823112.483911639</v>
      </c>
      <c r="G717" s="107">
        <v>9486870.9391226396</v>
      </c>
      <c r="H717" s="107">
        <v>5774829.8742573597</v>
      </c>
      <c r="I717" s="107">
        <v>5210257.3459977591</v>
      </c>
      <c r="J717" s="107">
        <v>0</v>
      </c>
      <c r="K717" s="107"/>
      <c r="L717" s="107">
        <v>665002.67436960002</v>
      </c>
      <c r="M717" s="107">
        <v>0</v>
      </c>
      <c r="N717" s="107">
        <v>0</v>
      </c>
      <c r="O717" s="107">
        <v>0</v>
      </c>
      <c r="P717" s="107">
        <v>0</v>
      </c>
      <c r="Q717" s="107">
        <v>15395294.52263166</v>
      </c>
      <c r="R717" s="107"/>
      <c r="S717" s="108"/>
      <c r="T717" s="145">
        <v>1101169.9078093402</v>
      </c>
      <c r="U717" s="23">
        <f t="shared" si="79"/>
        <v>6</v>
      </c>
    </row>
    <row r="718" spans="1:21" x14ac:dyDescent="0.25">
      <c r="A718" s="102">
        <f t="shared" si="78"/>
        <v>699</v>
      </c>
      <c r="B718" s="101">
        <f t="shared" si="77"/>
        <v>237</v>
      </c>
      <c r="C718" s="73" t="s">
        <v>46</v>
      </c>
      <c r="D718" s="120" t="s">
        <v>664</v>
      </c>
      <c r="E718" s="123">
        <f t="shared" si="76"/>
        <v>4344120.7939999998</v>
      </c>
      <c r="F718" s="107">
        <v>0</v>
      </c>
      <c r="G718" s="107">
        <v>0</v>
      </c>
      <c r="H718" s="107">
        <v>4251156.6090083998</v>
      </c>
      <c r="I718" s="107">
        <v>0</v>
      </c>
      <c r="J718" s="107">
        <v>0</v>
      </c>
      <c r="K718" s="107"/>
      <c r="L718" s="107"/>
      <c r="M718" s="107">
        <v>0</v>
      </c>
      <c r="N718" s="107">
        <v>0</v>
      </c>
      <c r="O718" s="107">
        <v>0</v>
      </c>
      <c r="P718" s="107">
        <v>0</v>
      </c>
      <c r="Q718" s="107">
        <v>0</v>
      </c>
      <c r="R718" s="107"/>
      <c r="S718" s="108"/>
      <c r="T718" s="145">
        <v>92964.184991599992</v>
      </c>
      <c r="U718" s="23">
        <f t="shared" si="79"/>
        <v>1</v>
      </c>
    </row>
    <row r="719" spans="1:21" x14ac:dyDescent="0.25">
      <c r="A719" s="102">
        <f t="shared" si="78"/>
        <v>700</v>
      </c>
      <c r="B719" s="101">
        <f t="shared" si="77"/>
        <v>238</v>
      </c>
      <c r="C719" s="73" t="s">
        <v>46</v>
      </c>
      <c r="D719" s="120" t="s">
        <v>665</v>
      </c>
      <c r="E719" s="123">
        <f t="shared" si="76"/>
        <v>3266851.3906</v>
      </c>
      <c r="F719" s="107"/>
      <c r="G719" s="107">
        <v>3196940.7708411599</v>
      </c>
      <c r="H719" s="107">
        <v>0</v>
      </c>
      <c r="I719" s="107">
        <v>0</v>
      </c>
      <c r="J719" s="107">
        <v>0</v>
      </c>
      <c r="K719" s="107"/>
      <c r="L719" s="107"/>
      <c r="M719" s="107">
        <v>0</v>
      </c>
      <c r="N719" s="107">
        <v>0</v>
      </c>
      <c r="O719" s="107">
        <v>0</v>
      </c>
      <c r="P719" s="107">
        <v>0</v>
      </c>
      <c r="Q719" s="107">
        <v>0</v>
      </c>
      <c r="R719" s="107"/>
      <c r="S719" s="108"/>
      <c r="T719" s="145">
        <v>69910.61975884001</v>
      </c>
      <c r="U719" s="23">
        <f t="shared" si="79"/>
        <v>1</v>
      </c>
    </row>
    <row r="720" spans="1:21" x14ac:dyDescent="0.25">
      <c r="A720" s="102">
        <f t="shared" si="78"/>
        <v>701</v>
      </c>
      <c r="B720" s="101">
        <f t="shared" si="77"/>
        <v>239</v>
      </c>
      <c r="C720" s="73" t="s">
        <v>46</v>
      </c>
      <c r="D720" s="120" t="s">
        <v>666</v>
      </c>
      <c r="E720" s="123">
        <f t="shared" si="76"/>
        <v>3137273.6384000001</v>
      </c>
      <c r="F720" s="107"/>
      <c r="G720" s="107">
        <v>3070135.98253824</v>
      </c>
      <c r="H720" s="107">
        <v>0</v>
      </c>
      <c r="I720" s="107">
        <v>0</v>
      </c>
      <c r="J720" s="107">
        <v>0</v>
      </c>
      <c r="K720" s="107"/>
      <c r="L720" s="107"/>
      <c r="M720" s="107">
        <v>0</v>
      </c>
      <c r="N720" s="107">
        <v>0</v>
      </c>
      <c r="O720" s="107">
        <v>0</v>
      </c>
      <c r="P720" s="107">
        <v>0</v>
      </c>
      <c r="Q720" s="107">
        <v>0</v>
      </c>
      <c r="R720" s="107"/>
      <c r="S720" s="108"/>
      <c r="T720" s="145">
        <v>67137.655861760009</v>
      </c>
      <c r="U720" s="23">
        <f t="shared" si="79"/>
        <v>1</v>
      </c>
    </row>
    <row r="721" spans="1:21" x14ac:dyDescent="0.25">
      <c r="A721" s="102">
        <f t="shared" si="78"/>
        <v>702</v>
      </c>
      <c r="B721" s="101">
        <f t="shared" si="77"/>
        <v>240</v>
      </c>
      <c r="C721" s="73" t="s">
        <v>46</v>
      </c>
      <c r="D721" s="120" t="s">
        <v>654</v>
      </c>
      <c r="E721" s="123">
        <f t="shared" si="76"/>
        <v>3602238.3189560003</v>
      </c>
      <c r="F721" s="107"/>
      <c r="G721" s="107">
        <v>3526312.8793200003</v>
      </c>
      <c r="H721" s="107"/>
      <c r="I721" s="107">
        <v>0</v>
      </c>
      <c r="J721" s="107">
        <v>0</v>
      </c>
      <c r="K721" s="107"/>
      <c r="L721" s="107"/>
      <c r="M721" s="107">
        <v>0</v>
      </c>
      <c r="N721" s="107">
        <v>0</v>
      </c>
      <c r="O721" s="107">
        <v>0</v>
      </c>
      <c r="P721" s="107">
        <v>0</v>
      </c>
      <c r="Q721" s="107">
        <v>0</v>
      </c>
      <c r="R721" s="107"/>
      <c r="S721" s="108"/>
      <c r="T721" s="145">
        <v>75925.43963600001</v>
      </c>
      <c r="U721" s="23">
        <f t="shared" si="79"/>
        <v>1</v>
      </c>
    </row>
    <row r="722" spans="1:21" x14ac:dyDescent="0.25">
      <c r="A722" s="102">
        <f t="shared" si="78"/>
        <v>703</v>
      </c>
      <c r="B722" s="101">
        <f t="shared" si="77"/>
        <v>241</v>
      </c>
      <c r="C722" s="73" t="s">
        <v>46</v>
      </c>
      <c r="D722" s="120" t="s">
        <v>667</v>
      </c>
      <c r="E722" s="123">
        <f t="shared" si="76"/>
        <v>3591360</v>
      </c>
      <c r="F722" s="107"/>
      <c r="G722" s="107"/>
      <c r="H722" s="107"/>
      <c r="I722" s="107"/>
      <c r="J722" s="107"/>
      <c r="K722" s="107"/>
      <c r="L722" s="107"/>
      <c r="M722" s="107">
        <v>3388344.6460698778</v>
      </c>
      <c r="N722" s="107"/>
      <c r="O722" s="107"/>
      <c r="P722" s="107"/>
      <c r="Q722" s="107"/>
      <c r="R722" s="107">
        <v>104919.11907839999</v>
      </c>
      <c r="S722" s="108">
        <v>24000</v>
      </c>
      <c r="T722" s="145">
        <v>74096.234851722242</v>
      </c>
      <c r="U722" s="23">
        <f t="shared" ref="U722:U738" si="80">COUNTIF(F722:Q722,"&gt;0")</f>
        <v>1</v>
      </c>
    </row>
    <row r="723" spans="1:21" x14ac:dyDescent="0.25">
      <c r="A723" s="102">
        <f t="shared" si="78"/>
        <v>704</v>
      </c>
      <c r="B723" s="101">
        <f t="shared" si="77"/>
        <v>242</v>
      </c>
      <c r="C723" s="73" t="s">
        <v>56</v>
      </c>
      <c r="D723" s="120" t="s">
        <v>668</v>
      </c>
      <c r="E723" s="123">
        <f t="shared" si="76"/>
        <v>6448840.0972000007</v>
      </c>
      <c r="F723" s="107">
        <v>3861288.8462639404</v>
      </c>
      <c r="G723" s="107">
        <v>2292533.9415640198</v>
      </c>
      <c r="H723" s="107">
        <v>0</v>
      </c>
      <c r="I723" s="107">
        <v>0</v>
      </c>
      <c r="J723" s="107">
        <v>0</v>
      </c>
      <c r="K723" s="107"/>
      <c r="L723" s="107">
        <v>157012.13129196005</v>
      </c>
      <c r="M723" s="107">
        <v>0</v>
      </c>
      <c r="N723" s="107">
        <v>0</v>
      </c>
      <c r="O723" s="107">
        <v>0</v>
      </c>
      <c r="P723" s="107">
        <v>0</v>
      </c>
      <c r="Q723" s="107">
        <v>0</v>
      </c>
      <c r="R723" s="107"/>
      <c r="S723" s="108"/>
      <c r="T723" s="145">
        <v>138005.17808008002</v>
      </c>
      <c r="U723" s="23">
        <f t="shared" si="80"/>
        <v>3</v>
      </c>
    </row>
    <row r="724" spans="1:21" x14ac:dyDescent="0.25">
      <c r="A724" s="102">
        <f t="shared" si="78"/>
        <v>705</v>
      </c>
      <c r="B724" s="101">
        <f t="shared" si="77"/>
        <v>243</v>
      </c>
      <c r="C724" s="73" t="s">
        <v>57</v>
      </c>
      <c r="D724" s="120" t="s">
        <v>669</v>
      </c>
      <c r="E724" s="123">
        <f t="shared" si="76"/>
        <v>7325775.6327</v>
      </c>
      <c r="F724" s="107">
        <v>6939898.4786422197</v>
      </c>
      <c r="G724" s="107"/>
      <c r="H724" s="107">
        <v>0</v>
      </c>
      <c r="I724" s="107">
        <v>0</v>
      </c>
      <c r="J724" s="107">
        <v>0</v>
      </c>
      <c r="K724" s="107"/>
      <c r="L724" s="107">
        <v>229105.55551800001</v>
      </c>
      <c r="M724" s="107">
        <v>0</v>
      </c>
      <c r="N724" s="107"/>
      <c r="O724" s="107">
        <v>0</v>
      </c>
      <c r="P724" s="107">
        <v>0</v>
      </c>
      <c r="Q724" s="107">
        <v>0</v>
      </c>
      <c r="R724" s="107"/>
      <c r="S724" s="108"/>
      <c r="T724" s="145">
        <v>156771.59853977998</v>
      </c>
      <c r="U724" s="23">
        <f t="shared" si="80"/>
        <v>2</v>
      </c>
    </row>
    <row r="725" spans="1:21" x14ac:dyDescent="0.25">
      <c r="A725" s="102">
        <f t="shared" si="78"/>
        <v>706</v>
      </c>
      <c r="B725" s="101">
        <f t="shared" si="77"/>
        <v>244</v>
      </c>
      <c r="C725" s="73" t="s">
        <v>57</v>
      </c>
      <c r="D725" s="120" t="s">
        <v>670</v>
      </c>
      <c r="E725" s="123">
        <f t="shared" si="76"/>
        <v>7269616.2805000003</v>
      </c>
      <c r="F725" s="107">
        <v>6886697.2620973801</v>
      </c>
      <c r="G725" s="107"/>
      <c r="H725" s="107">
        <v>0</v>
      </c>
      <c r="I725" s="107">
        <v>0</v>
      </c>
      <c r="J725" s="107">
        <v>0</v>
      </c>
      <c r="K725" s="107"/>
      <c r="L725" s="107">
        <v>227349.22999992</v>
      </c>
      <c r="M725" s="107">
        <v>0</v>
      </c>
      <c r="N725" s="107"/>
      <c r="O725" s="107">
        <v>0</v>
      </c>
      <c r="P725" s="107">
        <v>0</v>
      </c>
      <c r="Q725" s="107">
        <v>0</v>
      </c>
      <c r="R725" s="107"/>
      <c r="S725" s="108"/>
      <c r="T725" s="145">
        <v>155569.78840269998</v>
      </c>
      <c r="U725" s="23">
        <f t="shared" si="80"/>
        <v>2</v>
      </c>
    </row>
    <row r="726" spans="1:21" x14ac:dyDescent="0.25">
      <c r="A726" s="102">
        <f t="shared" si="78"/>
        <v>707</v>
      </c>
      <c r="B726" s="101">
        <f t="shared" si="77"/>
        <v>245</v>
      </c>
      <c r="C726" s="73" t="s">
        <v>132</v>
      </c>
      <c r="D726" s="120" t="s">
        <v>700</v>
      </c>
      <c r="E726" s="123">
        <f t="shared" si="76"/>
        <v>13493543.713220477</v>
      </c>
      <c r="F726" s="107">
        <v>5551531.9403609177</v>
      </c>
      <c r="G726" s="107">
        <v>2560521.6985019348</v>
      </c>
      <c r="H726" s="107">
        <v>2678283.0435968651</v>
      </c>
      <c r="I726" s="107">
        <v>1699212.2027279346</v>
      </c>
      <c r="J726" s="107"/>
      <c r="K726" s="107"/>
      <c r="L726" s="107">
        <v>207388.49321190882</v>
      </c>
      <c r="M726" s="107"/>
      <c r="N726" s="107"/>
      <c r="O726" s="107"/>
      <c r="P726" s="107"/>
      <c r="Q726" s="107"/>
      <c r="R726" s="107">
        <v>518950.03</v>
      </c>
      <c r="S726" s="108"/>
      <c r="T726" s="145">
        <v>277656.3048209183</v>
      </c>
      <c r="U726" s="23">
        <f t="shared" si="80"/>
        <v>5</v>
      </c>
    </row>
    <row r="727" spans="1:21" x14ac:dyDescent="0.25">
      <c r="A727" s="102">
        <f t="shared" si="78"/>
        <v>708</v>
      </c>
      <c r="B727" s="101">
        <f t="shared" si="77"/>
        <v>246</v>
      </c>
      <c r="C727" s="73" t="s">
        <v>132</v>
      </c>
      <c r="D727" s="120" t="s">
        <v>701</v>
      </c>
      <c r="E727" s="123">
        <f t="shared" ref="E727:E752" si="81">SUBTOTAL(9,F727:T727)</f>
        <v>17483382.935169917</v>
      </c>
      <c r="F727" s="107">
        <v>7236891.7417667126</v>
      </c>
      <c r="G727" s="107">
        <v>3349337.1770725711</v>
      </c>
      <c r="H727" s="107">
        <v>3482256.4633805514</v>
      </c>
      <c r="I727" s="107">
        <v>2233125.1141765704</v>
      </c>
      <c r="J727" s="107"/>
      <c r="K727" s="107"/>
      <c r="L727" s="107">
        <v>268700.9284648766</v>
      </c>
      <c r="M727" s="107"/>
      <c r="N727" s="107"/>
      <c r="O727" s="107"/>
      <c r="P727" s="107"/>
      <c r="Q727" s="107"/>
      <c r="R727" s="107">
        <v>550712.36</v>
      </c>
      <c r="S727" s="108"/>
      <c r="T727" s="145">
        <v>362359.15030863637</v>
      </c>
      <c r="U727" s="23">
        <f t="shared" si="80"/>
        <v>5</v>
      </c>
    </row>
    <row r="728" spans="1:21" x14ac:dyDescent="0.25">
      <c r="A728" s="102">
        <f t="shared" si="78"/>
        <v>709</v>
      </c>
      <c r="B728" s="101">
        <f t="shared" si="77"/>
        <v>247</v>
      </c>
      <c r="C728" s="73" t="s">
        <v>132</v>
      </c>
      <c r="D728" s="120" t="s">
        <v>702</v>
      </c>
      <c r="E728" s="123">
        <f t="shared" si="81"/>
        <v>25951484.897758067</v>
      </c>
      <c r="F728" s="107">
        <v>7588162.5095821442</v>
      </c>
      <c r="G728" s="107">
        <v>3513749.8885165155</v>
      </c>
      <c r="H728" s="107">
        <v>3648800.90724076</v>
      </c>
      <c r="I728" s="107"/>
      <c r="J728" s="107"/>
      <c r="K728" s="107"/>
      <c r="L728" s="107">
        <v>281551.16212344577</v>
      </c>
      <c r="M728" s="107"/>
      <c r="N728" s="107"/>
      <c r="O728" s="107"/>
      <c r="P728" s="107"/>
      <c r="Q728" s="107">
        <v>9770786.1871471778</v>
      </c>
      <c r="R728" s="107">
        <v>606041.76</v>
      </c>
      <c r="S728" s="108"/>
      <c r="T728" s="145">
        <v>542392.48314802255</v>
      </c>
      <c r="U728" s="23">
        <f t="shared" si="80"/>
        <v>5</v>
      </c>
    </row>
    <row r="729" spans="1:21" x14ac:dyDescent="0.25">
      <c r="A729" s="102">
        <f t="shared" si="78"/>
        <v>710</v>
      </c>
      <c r="B729" s="101">
        <f t="shared" si="77"/>
        <v>248</v>
      </c>
      <c r="C729" s="73" t="s">
        <v>132</v>
      </c>
      <c r="D729" s="120" t="s">
        <v>703</v>
      </c>
      <c r="E729" s="123">
        <f t="shared" si="81"/>
        <v>33770714.155886941</v>
      </c>
      <c r="F729" s="107">
        <v>8973350.9449416008</v>
      </c>
      <c r="G729" s="107">
        <v>4153394.8612312796</v>
      </c>
      <c r="H729" s="107">
        <v>4321667.2967556482</v>
      </c>
      <c r="I729" s="107">
        <v>2763510.5168512799</v>
      </c>
      <c r="J729" s="107"/>
      <c r="K729" s="107"/>
      <c r="L729" s="107">
        <v>333724.67549366411</v>
      </c>
      <c r="M729" s="107"/>
      <c r="N729" s="107"/>
      <c r="O729" s="107"/>
      <c r="P729" s="107"/>
      <c r="Q729" s="107">
        <v>11566981.319995483</v>
      </c>
      <c r="R729" s="107">
        <v>955846.37</v>
      </c>
      <c r="S729" s="108"/>
      <c r="T729" s="145">
        <v>702238.17061798053</v>
      </c>
      <c r="U729" s="23">
        <f t="shared" si="80"/>
        <v>6</v>
      </c>
    </row>
    <row r="730" spans="1:21" x14ac:dyDescent="0.25">
      <c r="A730" s="102">
        <f t="shared" si="78"/>
        <v>711</v>
      </c>
      <c r="B730" s="101">
        <f t="shared" si="77"/>
        <v>249</v>
      </c>
      <c r="C730" s="73" t="s">
        <v>132</v>
      </c>
      <c r="D730" s="120" t="s">
        <v>704</v>
      </c>
      <c r="E730" s="123">
        <f t="shared" si="81"/>
        <v>11745078.045090696</v>
      </c>
      <c r="F730" s="107"/>
      <c r="G730" s="107"/>
      <c r="H730" s="107"/>
      <c r="I730" s="107"/>
      <c r="J730" s="107"/>
      <c r="K730" s="107"/>
      <c r="L730" s="107"/>
      <c r="M730" s="107"/>
      <c r="N730" s="107">
        <v>11243583.877789754</v>
      </c>
      <c r="O730" s="107"/>
      <c r="P730" s="107"/>
      <c r="Q730" s="107"/>
      <c r="R730" s="107">
        <v>255619.76</v>
      </c>
      <c r="S730" s="108"/>
      <c r="T730" s="145">
        <v>245874.40730094089</v>
      </c>
      <c r="U730" s="23">
        <f t="shared" si="80"/>
        <v>1</v>
      </c>
    </row>
    <row r="731" spans="1:21" x14ac:dyDescent="0.25">
      <c r="A731" s="102">
        <f t="shared" si="78"/>
        <v>712</v>
      </c>
      <c r="B731" s="101">
        <f t="shared" si="77"/>
        <v>250</v>
      </c>
      <c r="C731" s="73" t="s">
        <v>132</v>
      </c>
      <c r="D731" s="120" t="s">
        <v>705</v>
      </c>
      <c r="E731" s="123">
        <f t="shared" si="81"/>
        <v>33271124.889648609</v>
      </c>
      <c r="F731" s="107">
        <v>5279497.5508409571</v>
      </c>
      <c r="G731" s="107">
        <v>2417886.2464283649</v>
      </c>
      <c r="H731" s="107">
        <v>2558845.4595542033</v>
      </c>
      <c r="I731" s="107">
        <v>1591295.1398003653</v>
      </c>
      <c r="J731" s="107"/>
      <c r="K731" s="107"/>
      <c r="L731" s="107">
        <v>199139.50379714233</v>
      </c>
      <c r="M731" s="107"/>
      <c r="N731" s="107">
        <v>12823226.490161531</v>
      </c>
      <c r="O731" s="107"/>
      <c r="P731" s="107">
        <v>6517783.6975435661</v>
      </c>
      <c r="Q731" s="107"/>
      <c r="R731" s="107">
        <v>1197065.94</v>
      </c>
      <c r="S731" s="108"/>
      <c r="T731" s="145">
        <v>686384.86152248038</v>
      </c>
      <c r="U731" s="23">
        <f t="shared" si="80"/>
        <v>7</v>
      </c>
    </row>
    <row r="732" spans="1:21" x14ac:dyDescent="0.25">
      <c r="A732" s="102">
        <f t="shared" si="78"/>
        <v>713</v>
      </c>
      <c r="B732" s="101">
        <f t="shared" si="77"/>
        <v>251</v>
      </c>
      <c r="C732" s="73" t="s">
        <v>772</v>
      </c>
      <c r="D732" s="120" t="s">
        <v>698</v>
      </c>
      <c r="E732" s="123">
        <f t="shared" si="81"/>
        <v>8451712.6778820977</v>
      </c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>
        <v>7987989.2220094213</v>
      </c>
      <c r="R732" s="107">
        <v>289042.31</v>
      </c>
      <c r="S732" s="108"/>
      <c r="T732" s="145">
        <v>174681.14587267689</v>
      </c>
      <c r="U732" s="23">
        <f t="shared" si="80"/>
        <v>1</v>
      </c>
    </row>
    <row r="733" spans="1:21" x14ac:dyDescent="0.25">
      <c r="A733" s="102">
        <f t="shared" si="78"/>
        <v>714</v>
      </c>
      <c r="B733" s="101">
        <f t="shared" si="77"/>
        <v>252</v>
      </c>
      <c r="C733" s="73" t="s">
        <v>772</v>
      </c>
      <c r="D733" s="120" t="s">
        <v>699</v>
      </c>
      <c r="E733" s="123">
        <f t="shared" si="81"/>
        <v>7524757.6654845187</v>
      </c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>
        <v>7090316.1613531495</v>
      </c>
      <c r="R733" s="107">
        <v>279390.65000000002</v>
      </c>
      <c r="S733" s="108"/>
      <c r="T733" s="145">
        <v>155050.85413136869</v>
      </c>
      <c r="U733" s="23">
        <f t="shared" si="80"/>
        <v>1</v>
      </c>
    </row>
    <row r="734" spans="1:21" x14ac:dyDescent="0.25">
      <c r="A734" s="102">
        <f t="shared" si="78"/>
        <v>715</v>
      </c>
      <c r="B734" s="101">
        <f t="shared" si="77"/>
        <v>253</v>
      </c>
      <c r="C734" s="73" t="s">
        <v>60</v>
      </c>
      <c r="D734" s="120" t="s">
        <v>706</v>
      </c>
      <c r="E734" s="123">
        <f t="shared" si="81"/>
        <v>3595741.0432031201</v>
      </c>
      <c r="F734" s="107">
        <v>0</v>
      </c>
      <c r="G734" s="107">
        <v>0</v>
      </c>
      <c r="H734" s="111">
        <v>0</v>
      </c>
      <c r="I734" s="111">
        <v>0</v>
      </c>
      <c r="J734" s="107">
        <v>0</v>
      </c>
      <c r="K734" s="107"/>
      <c r="L734" s="107"/>
      <c r="M734" s="107">
        <v>0</v>
      </c>
      <c r="N734" s="107"/>
      <c r="O734" s="107">
        <v>0</v>
      </c>
      <c r="P734" s="107">
        <v>0</v>
      </c>
      <c r="Q734" s="107">
        <v>3525835.391022</v>
      </c>
      <c r="R734" s="107"/>
      <c r="S734" s="108"/>
      <c r="T734" s="145">
        <v>69905.652181120007</v>
      </c>
      <c r="U734" s="23">
        <f t="shared" si="80"/>
        <v>1</v>
      </c>
    </row>
    <row r="735" spans="1:21" x14ac:dyDescent="0.25">
      <c r="A735" s="102">
        <f t="shared" si="78"/>
        <v>716</v>
      </c>
      <c r="B735" s="101">
        <f t="shared" si="77"/>
        <v>254</v>
      </c>
      <c r="C735" s="73" t="s">
        <v>60</v>
      </c>
      <c r="D735" s="120" t="s">
        <v>707</v>
      </c>
      <c r="E735" s="123">
        <f t="shared" si="81"/>
        <v>107632.58387867997</v>
      </c>
      <c r="F735" s="107">
        <v>0</v>
      </c>
      <c r="G735" s="107">
        <v>0</v>
      </c>
      <c r="H735" s="107">
        <v>105075.60923999998</v>
      </c>
      <c r="I735" s="107">
        <v>0</v>
      </c>
      <c r="J735" s="107">
        <v>0</v>
      </c>
      <c r="K735" s="107"/>
      <c r="L735" s="107"/>
      <c r="M735" s="107">
        <v>0</v>
      </c>
      <c r="N735" s="107">
        <v>0</v>
      </c>
      <c r="O735" s="107">
        <v>0</v>
      </c>
      <c r="P735" s="107"/>
      <c r="Q735" s="107">
        <v>0</v>
      </c>
      <c r="R735" s="107"/>
      <c r="S735" s="108"/>
      <c r="T735" s="145">
        <v>2556.9746386799998</v>
      </c>
      <c r="U735" s="23">
        <f t="shared" si="80"/>
        <v>1</v>
      </c>
    </row>
    <row r="736" spans="1:21" x14ac:dyDescent="0.25">
      <c r="A736" s="102">
        <f t="shared" si="78"/>
        <v>717</v>
      </c>
      <c r="B736" s="101">
        <f t="shared" si="77"/>
        <v>255</v>
      </c>
      <c r="C736" s="73" t="s">
        <v>60</v>
      </c>
      <c r="D736" s="120" t="s">
        <v>708</v>
      </c>
      <c r="E736" s="123">
        <f t="shared" si="81"/>
        <v>6001006.839799501</v>
      </c>
      <c r="F736" s="107"/>
      <c r="G736" s="107">
        <v>0</v>
      </c>
      <c r="H736" s="107">
        <v>377369.21947199997</v>
      </c>
      <c r="I736" s="107"/>
      <c r="J736" s="107"/>
      <c r="K736" s="107"/>
      <c r="L736" s="107"/>
      <c r="M736" s="107"/>
      <c r="N736" s="107"/>
      <c r="O736" s="107"/>
      <c r="P736" s="107"/>
      <c r="Q736" s="107">
        <v>5507536.2469260003</v>
      </c>
      <c r="R736" s="107"/>
      <c r="S736" s="108"/>
      <c r="T736" s="145">
        <v>116101.37340150001</v>
      </c>
      <c r="U736" s="23">
        <f t="shared" si="80"/>
        <v>2</v>
      </c>
    </row>
    <row r="737" spans="1:22" x14ac:dyDescent="0.25">
      <c r="A737" s="102">
        <f t="shared" si="78"/>
        <v>718</v>
      </c>
      <c r="B737" s="101">
        <f t="shared" si="77"/>
        <v>256</v>
      </c>
      <c r="C737" s="73" t="s">
        <v>60</v>
      </c>
      <c r="D737" s="120" t="s">
        <v>709</v>
      </c>
      <c r="E737" s="123">
        <f t="shared" si="81"/>
        <v>3580147.76291</v>
      </c>
      <c r="F737" s="107"/>
      <c r="G737" s="107">
        <v>0</v>
      </c>
      <c r="H737" s="107">
        <v>0</v>
      </c>
      <c r="I737" s="107">
        <v>760379.17506936006</v>
      </c>
      <c r="J737" s="107">
        <v>0</v>
      </c>
      <c r="K737" s="107"/>
      <c r="L737" s="107"/>
      <c r="M737" s="107"/>
      <c r="N737" s="107"/>
      <c r="O737" s="107"/>
      <c r="P737" s="107"/>
      <c r="Q737" s="107">
        <v>2745980.9435167201</v>
      </c>
      <c r="R737" s="107"/>
      <c r="S737" s="108"/>
      <c r="T737" s="145">
        <v>73787.644323920016</v>
      </c>
      <c r="U737" s="23">
        <f t="shared" si="80"/>
        <v>2</v>
      </c>
    </row>
    <row r="738" spans="1:22" x14ac:dyDescent="0.25">
      <c r="A738" s="102">
        <f t="shared" si="78"/>
        <v>719</v>
      </c>
      <c r="B738" s="101">
        <f t="shared" ref="B738:B752" si="82">+B737+1</f>
        <v>257</v>
      </c>
      <c r="C738" s="73" t="s">
        <v>60</v>
      </c>
      <c r="D738" s="120" t="s">
        <v>710</v>
      </c>
      <c r="E738" s="123">
        <f t="shared" si="81"/>
        <v>2428220.8694842998</v>
      </c>
      <c r="F738" s="107"/>
      <c r="G738" s="107"/>
      <c r="H738" s="107"/>
      <c r="I738" s="107"/>
      <c r="J738" s="107">
        <v>0</v>
      </c>
      <c r="K738" s="107"/>
      <c r="L738" s="107"/>
      <c r="M738" s="107"/>
      <c r="N738" s="107"/>
      <c r="O738" s="107"/>
      <c r="P738" s="107"/>
      <c r="Q738" s="107">
        <v>2380773.3781019999</v>
      </c>
      <c r="R738" s="107"/>
      <c r="S738" s="108"/>
      <c r="T738" s="145">
        <v>47447.49138230001</v>
      </c>
      <c r="U738" s="23">
        <f t="shared" si="80"/>
        <v>1</v>
      </c>
    </row>
    <row r="739" spans="1:22" x14ac:dyDescent="0.25">
      <c r="A739" s="102">
        <f t="shared" ref="A739:A752" si="83">+A738+1</f>
        <v>720</v>
      </c>
      <c r="B739" s="101">
        <f t="shared" si="82"/>
        <v>258</v>
      </c>
      <c r="C739" s="73" t="s">
        <v>69</v>
      </c>
      <c r="D739" s="120" t="s">
        <v>711</v>
      </c>
      <c r="E739" s="123">
        <f t="shared" si="81"/>
        <v>6440275.3677098369</v>
      </c>
      <c r="F739" s="107">
        <v>0</v>
      </c>
      <c r="G739" s="107">
        <v>0</v>
      </c>
      <c r="H739" s="107">
        <v>303661.69069625222</v>
      </c>
      <c r="I739" s="107">
        <v>1175654.2048286945</v>
      </c>
      <c r="J739" s="107">
        <v>0</v>
      </c>
      <c r="K739" s="107"/>
      <c r="L739" s="107">
        <v>0</v>
      </c>
      <c r="M739" s="107"/>
      <c r="N739" s="107"/>
      <c r="O739" s="107">
        <v>0</v>
      </c>
      <c r="P739" s="107">
        <v>0</v>
      </c>
      <c r="Q739" s="107">
        <v>4707579.7014779309</v>
      </c>
      <c r="R739" s="107">
        <v>83285.91</v>
      </c>
      <c r="S739" s="108">
        <v>30861.42</v>
      </c>
      <c r="T739" s="145">
        <v>139232.44070695856</v>
      </c>
      <c r="U739" s="23"/>
      <c r="V739" s="41" t="s">
        <v>246</v>
      </c>
    </row>
    <row r="740" spans="1:22" x14ac:dyDescent="0.25">
      <c r="A740" s="102">
        <f t="shared" si="83"/>
        <v>721</v>
      </c>
      <c r="B740" s="101">
        <f t="shared" si="82"/>
        <v>259</v>
      </c>
      <c r="C740" s="73" t="s">
        <v>62</v>
      </c>
      <c r="D740" s="120" t="s">
        <v>721</v>
      </c>
      <c r="E740" s="123">
        <f t="shared" si="81"/>
        <v>1513766.7257999999</v>
      </c>
      <c r="F740" s="107">
        <v>0</v>
      </c>
      <c r="G740" s="107">
        <v>0</v>
      </c>
      <c r="H740" s="107">
        <v>0</v>
      </c>
      <c r="I740" s="107">
        <v>0</v>
      </c>
      <c r="J740" s="107">
        <v>1481372.1178678798</v>
      </c>
      <c r="K740" s="107"/>
      <c r="L740" s="107"/>
      <c r="M740" s="107">
        <v>0</v>
      </c>
      <c r="N740" s="107">
        <v>0</v>
      </c>
      <c r="O740" s="107">
        <v>0</v>
      </c>
      <c r="P740" s="107">
        <v>0</v>
      </c>
      <c r="Q740" s="107">
        <v>0</v>
      </c>
      <c r="R740" s="107"/>
      <c r="S740" s="108"/>
      <c r="T740" s="145">
        <v>32394.607932119998</v>
      </c>
      <c r="U740" s="23">
        <f t="shared" ref="U740:U752" si="84">COUNTIF(F740:Q740,"&gt;0")</f>
        <v>1</v>
      </c>
    </row>
    <row r="741" spans="1:22" x14ac:dyDescent="0.25">
      <c r="A741" s="102">
        <f t="shared" si="83"/>
        <v>722</v>
      </c>
      <c r="B741" s="101">
        <f t="shared" si="82"/>
        <v>260</v>
      </c>
      <c r="C741" s="73" t="s">
        <v>62</v>
      </c>
      <c r="D741" s="120" t="s">
        <v>722</v>
      </c>
      <c r="E741" s="123">
        <f t="shared" si="81"/>
        <v>543894.30090000003</v>
      </c>
      <c r="F741" s="107">
        <v>0</v>
      </c>
      <c r="G741" s="107">
        <v>0</v>
      </c>
      <c r="H741" s="107">
        <v>0</v>
      </c>
      <c r="I741" s="107">
        <v>0</v>
      </c>
      <c r="J741" s="107">
        <v>532254.96286074002</v>
      </c>
      <c r="K741" s="107"/>
      <c r="L741" s="107"/>
      <c r="M741" s="107">
        <v>0</v>
      </c>
      <c r="N741" s="107">
        <v>0</v>
      </c>
      <c r="O741" s="107">
        <v>0</v>
      </c>
      <c r="P741" s="107">
        <v>0</v>
      </c>
      <c r="Q741" s="107">
        <v>0</v>
      </c>
      <c r="R741" s="107"/>
      <c r="S741" s="108"/>
      <c r="T741" s="145">
        <v>11639.338039260001</v>
      </c>
      <c r="U741" s="23">
        <f t="shared" si="84"/>
        <v>1</v>
      </c>
    </row>
    <row r="742" spans="1:22" x14ac:dyDescent="0.25">
      <c r="A742" s="102">
        <f t="shared" si="83"/>
        <v>723</v>
      </c>
      <c r="B742" s="101">
        <f t="shared" si="82"/>
        <v>261</v>
      </c>
      <c r="C742" s="73" t="s">
        <v>62</v>
      </c>
      <c r="D742" s="120" t="s">
        <v>723</v>
      </c>
      <c r="E742" s="123">
        <f t="shared" si="81"/>
        <v>536732.4389999999</v>
      </c>
      <c r="F742" s="107">
        <v>0</v>
      </c>
      <c r="G742" s="107">
        <v>0</v>
      </c>
      <c r="H742" s="107">
        <v>0</v>
      </c>
      <c r="I742" s="107">
        <v>0</v>
      </c>
      <c r="J742" s="107">
        <v>525246.36480539991</v>
      </c>
      <c r="K742" s="107"/>
      <c r="L742" s="107"/>
      <c r="M742" s="107">
        <v>0</v>
      </c>
      <c r="N742" s="107">
        <v>0</v>
      </c>
      <c r="O742" s="107">
        <v>0</v>
      </c>
      <c r="P742" s="107">
        <v>0</v>
      </c>
      <c r="Q742" s="107">
        <v>0</v>
      </c>
      <c r="R742" s="107"/>
      <c r="S742" s="108"/>
      <c r="T742" s="145">
        <v>11486.074194599998</v>
      </c>
      <c r="U742" s="23">
        <f t="shared" si="84"/>
        <v>1</v>
      </c>
    </row>
    <row r="743" spans="1:22" x14ac:dyDescent="0.25">
      <c r="A743" s="102">
        <f t="shared" si="83"/>
        <v>724</v>
      </c>
      <c r="B743" s="101">
        <f t="shared" si="82"/>
        <v>262</v>
      </c>
      <c r="C743" s="73" t="s">
        <v>62</v>
      </c>
      <c r="D743" s="120" t="s">
        <v>724</v>
      </c>
      <c r="E743" s="123">
        <f t="shared" si="81"/>
        <v>367776.86744473106</v>
      </c>
      <c r="F743" s="107"/>
      <c r="G743" s="107">
        <v>0</v>
      </c>
      <c r="H743" s="107">
        <v>0</v>
      </c>
      <c r="I743" s="107">
        <v>0</v>
      </c>
      <c r="J743" s="107">
        <v>359906.44733063993</v>
      </c>
      <c r="K743" s="107"/>
      <c r="L743" s="107"/>
      <c r="M743" s="107">
        <v>0</v>
      </c>
      <c r="N743" s="107">
        <v>0</v>
      </c>
      <c r="O743" s="107">
        <v>0</v>
      </c>
      <c r="P743" s="107">
        <v>0</v>
      </c>
      <c r="Q743" s="107">
        <v>0</v>
      </c>
      <c r="R743" s="107"/>
      <c r="S743" s="108"/>
      <c r="T743" s="145">
        <v>7870.4201140911273</v>
      </c>
      <c r="U743" s="23">
        <f t="shared" si="84"/>
        <v>1</v>
      </c>
    </row>
    <row r="744" spans="1:22" x14ac:dyDescent="0.25">
      <c r="A744" s="102">
        <f t="shared" si="83"/>
        <v>725</v>
      </c>
      <c r="B744" s="101">
        <f t="shared" si="82"/>
        <v>263</v>
      </c>
      <c r="C744" s="73" t="s">
        <v>62</v>
      </c>
      <c r="D744" s="120" t="s">
        <v>725</v>
      </c>
      <c r="E744" s="123">
        <f t="shared" si="81"/>
        <v>2143162.1283</v>
      </c>
      <c r="F744" s="107">
        <v>0</v>
      </c>
      <c r="G744" s="107">
        <v>0</v>
      </c>
      <c r="H744" s="107">
        <v>0</v>
      </c>
      <c r="I744" s="107">
        <v>0</v>
      </c>
      <c r="J744" s="107">
        <v>2097298.4587543798</v>
      </c>
      <c r="K744" s="107"/>
      <c r="L744" s="107"/>
      <c r="M744" s="107">
        <v>0</v>
      </c>
      <c r="N744" s="107">
        <v>0</v>
      </c>
      <c r="O744" s="107">
        <v>0</v>
      </c>
      <c r="P744" s="107">
        <v>0</v>
      </c>
      <c r="Q744" s="107">
        <v>0</v>
      </c>
      <c r="R744" s="107"/>
      <c r="S744" s="108"/>
      <c r="T744" s="145">
        <v>45863.669545620003</v>
      </c>
      <c r="U744" s="23">
        <f t="shared" si="84"/>
        <v>1</v>
      </c>
    </row>
    <row r="745" spans="1:22" x14ac:dyDescent="0.25">
      <c r="A745" s="102">
        <f t="shared" si="83"/>
        <v>726</v>
      </c>
      <c r="B745" s="101">
        <f t="shared" si="82"/>
        <v>264</v>
      </c>
      <c r="C745" s="73" t="s">
        <v>62</v>
      </c>
      <c r="D745" s="120" t="s">
        <v>726</v>
      </c>
      <c r="E745" s="123">
        <f t="shared" si="81"/>
        <v>1668917.8005000001</v>
      </c>
      <c r="F745" s="107">
        <v>0</v>
      </c>
      <c r="G745" s="107">
        <v>0</v>
      </c>
      <c r="H745" s="107">
        <v>0</v>
      </c>
      <c r="I745" s="107">
        <v>0</v>
      </c>
      <c r="J745" s="107">
        <v>1633202.9595693001</v>
      </c>
      <c r="K745" s="107"/>
      <c r="L745" s="107"/>
      <c r="M745" s="107">
        <v>0</v>
      </c>
      <c r="N745" s="107">
        <v>0</v>
      </c>
      <c r="O745" s="107">
        <v>0</v>
      </c>
      <c r="P745" s="107">
        <v>0</v>
      </c>
      <c r="Q745" s="107">
        <v>0</v>
      </c>
      <c r="R745" s="107"/>
      <c r="S745" s="108"/>
      <c r="T745" s="145">
        <v>35714.840930700004</v>
      </c>
      <c r="U745" s="23">
        <f t="shared" si="84"/>
        <v>1</v>
      </c>
    </row>
    <row r="746" spans="1:22" x14ac:dyDescent="0.25">
      <c r="A746" s="102">
        <f t="shared" si="83"/>
        <v>727</v>
      </c>
      <c r="B746" s="101">
        <f t="shared" si="82"/>
        <v>265</v>
      </c>
      <c r="C746" s="73" t="s">
        <v>62</v>
      </c>
      <c r="D746" s="120" t="s">
        <v>727</v>
      </c>
      <c r="E746" s="123">
        <f t="shared" si="81"/>
        <v>1090164.3753000002</v>
      </c>
      <c r="F746" s="107">
        <v>0</v>
      </c>
      <c r="G746" s="107">
        <v>0</v>
      </c>
      <c r="H746" s="107">
        <v>0</v>
      </c>
      <c r="I746" s="107">
        <v>0</v>
      </c>
      <c r="J746" s="107">
        <v>1066834.8576685803</v>
      </c>
      <c r="K746" s="107"/>
      <c r="L746" s="107"/>
      <c r="M746" s="107">
        <v>0</v>
      </c>
      <c r="N746" s="107">
        <v>0</v>
      </c>
      <c r="O746" s="107">
        <v>0</v>
      </c>
      <c r="P746" s="107">
        <v>0</v>
      </c>
      <c r="Q746" s="107">
        <v>0</v>
      </c>
      <c r="R746" s="107"/>
      <c r="S746" s="108"/>
      <c r="T746" s="145">
        <v>23329.517631420003</v>
      </c>
      <c r="U746" s="23">
        <f t="shared" si="84"/>
        <v>1</v>
      </c>
    </row>
    <row r="747" spans="1:22" x14ac:dyDescent="0.25">
      <c r="A747" s="102">
        <f t="shared" si="83"/>
        <v>728</v>
      </c>
      <c r="B747" s="101">
        <f t="shared" si="82"/>
        <v>266</v>
      </c>
      <c r="C747" s="73" t="s">
        <v>62</v>
      </c>
      <c r="D747" s="120" t="s">
        <v>728</v>
      </c>
      <c r="E747" s="123">
        <f t="shared" si="81"/>
        <v>1458644.1368999998</v>
      </c>
      <c r="F747" s="107">
        <v>0</v>
      </c>
      <c r="G747" s="107">
        <v>0</v>
      </c>
      <c r="H747" s="107">
        <v>0</v>
      </c>
      <c r="I747" s="107">
        <v>0</v>
      </c>
      <c r="J747" s="107">
        <v>1427429.1523703397</v>
      </c>
      <c r="K747" s="107"/>
      <c r="L747" s="107"/>
      <c r="M747" s="107">
        <v>0</v>
      </c>
      <c r="N747" s="107">
        <v>0</v>
      </c>
      <c r="O747" s="107">
        <v>0</v>
      </c>
      <c r="P747" s="107">
        <v>0</v>
      </c>
      <c r="Q747" s="107">
        <v>0</v>
      </c>
      <c r="R747" s="107"/>
      <c r="S747" s="108"/>
      <c r="T747" s="145">
        <v>31214.98452966</v>
      </c>
      <c r="U747" s="23">
        <f t="shared" si="84"/>
        <v>1</v>
      </c>
    </row>
    <row r="748" spans="1:22" x14ac:dyDescent="0.25">
      <c r="A748" s="102">
        <f t="shared" si="83"/>
        <v>729</v>
      </c>
      <c r="B748" s="101">
        <f t="shared" si="82"/>
        <v>267</v>
      </c>
      <c r="C748" s="73" t="s">
        <v>61</v>
      </c>
      <c r="D748" s="120" t="s">
        <v>729</v>
      </c>
      <c r="E748" s="123">
        <f t="shared" si="81"/>
        <v>4258070.3745964803</v>
      </c>
      <c r="F748" s="107">
        <v>0</v>
      </c>
      <c r="G748" s="107">
        <v>0</v>
      </c>
      <c r="H748" s="107"/>
      <c r="I748" s="107"/>
      <c r="J748" s="107"/>
      <c r="K748" s="107"/>
      <c r="L748" s="107"/>
      <c r="M748" s="107">
        <v>0</v>
      </c>
      <c r="N748" s="107">
        <v>0</v>
      </c>
      <c r="O748" s="107">
        <v>0</v>
      </c>
      <c r="P748" s="107">
        <v>0</v>
      </c>
      <c r="Q748" s="107">
        <v>4053675.3840281158</v>
      </c>
      <c r="R748" s="107">
        <v>87235.48</v>
      </c>
      <c r="S748" s="108">
        <v>28513.84</v>
      </c>
      <c r="T748" s="145">
        <v>88645.670568364687</v>
      </c>
      <c r="U748" s="23">
        <f t="shared" si="84"/>
        <v>1</v>
      </c>
    </row>
    <row r="749" spans="1:22" x14ac:dyDescent="0.25">
      <c r="A749" s="102">
        <f t="shared" si="83"/>
        <v>730</v>
      </c>
      <c r="B749" s="101">
        <f t="shared" si="82"/>
        <v>268</v>
      </c>
      <c r="C749" s="73" t="s">
        <v>61</v>
      </c>
      <c r="D749" s="120" t="s">
        <v>730</v>
      </c>
      <c r="E749" s="123">
        <f t="shared" si="81"/>
        <v>10942766.959917923</v>
      </c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>
        <v>10595319.46242368</v>
      </c>
      <c r="R749" s="107">
        <v>87235.48</v>
      </c>
      <c r="S749" s="108">
        <v>28513.84</v>
      </c>
      <c r="T749" s="145">
        <v>231698.17749424357</v>
      </c>
      <c r="U749" s="23">
        <f t="shared" si="84"/>
        <v>1</v>
      </c>
    </row>
    <row r="750" spans="1:22" x14ac:dyDescent="0.25">
      <c r="A750" s="102">
        <f t="shared" si="83"/>
        <v>731</v>
      </c>
      <c r="B750" s="101">
        <f t="shared" si="82"/>
        <v>269</v>
      </c>
      <c r="C750" s="73" t="s">
        <v>61</v>
      </c>
      <c r="D750" s="120" t="s">
        <v>715</v>
      </c>
      <c r="E750" s="123">
        <f t="shared" si="81"/>
        <v>5037776.7369999997</v>
      </c>
      <c r="F750" s="107">
        <v>0</v>
      </c>
      <c r="G750" s="107">
        <v>0</v>
      </c>
      <c r="H750" s="107">
        <v>0</v>
      </c>
      <c r="I750" s="107">
        <v>0</v>
      </c>
      <c r="J750" s="107">
        <v>0</v>
      </c>
      <c r="K750" s="107"/>
      <c r="L750" s="107"/>
      <c r="M750" s="107">
        <v>0</v>
      </c>
      <c r="N750" s="107">
        <v>0</v>
      </c>
      <c r="O750" s="107">
        <v>0</v>
      </c>
      <c r="P750" s="107">
        <v>0</v>
      </c>
      <c r="Q750" s="107">
        <v>4929968.3148281993</v>
      </c>
      <c r="R750" s="107"/>
      <c r="S750" s="108"/>
      <c r="T750" s="145">
        <v>107808.4221718</v>
      </c>
      <c r="U750" s="23">
        <f t="shared" si="84"/>
        <v>1</v>
      </c>
    </row>
    <row r="751" spans="1:22" x14ac:dyDescent="0.25">
      <c r="A751" s="102">
        <f t="shared" si="83"/>
        <v>732</v>
      </c>
      <c r="B751" s="101">
        <f t="shared" si="82"/>
        <v>270</v>
      </c>
      <c r="C751" s="73" t="s">
        <v>61</v>
      </c>
      <c r="D751" s="120" t="s">
        <v>716</v>
      </c>
      <c r="E751" s="123">
        <f t="shared" si="81"/>
        <v>4996855.5961000007</v>
      </c>
      <c r="F751" s="107">
        <v>0</v>
      </c>
      <c r="G751" s="107">
        <v>0</v>
      </c>
      <c r="H751" s="107">
        <v>0</v>
      </c>
      <c r="I751" s="107">
        <v>0</v>
      </c>
      <c r="J751" s="107">
        <v>0</v>
      </c>
      <c r="K751" s="107"/>
      <c r="L751" s="107"/>
      <c r="M751" s="107">
        <v>0</v>
      </c>
      <c r="N751" s="107">
        <v>0</v>
      </c>
      <c r="O751" s="107">
        <v>0</v>
      </c>
      <c r="P751" s="107">
        <v>0</v>
      </c>
      <c r="Q751" s="107">
        <v>4889922.8863434605</v>
      </c>
      <c r="R751" s="107"/>
      <c r="S751" s="108"/>
      <c r="T751" s="145">
        <v>106932.70975654002</v>
      </c>
      <c r="U751" s="23">
        <f t="shared" si="84"/>
        <v>1</v>
      </c>
    </row>
    <row r="752" spans="1:22" x14ac:dyDescent="0.25">
      <c r="A752" s="102">
        <f t="shared" si="83"/>
        <v>733</v>
      </c>
      <c r="B752" s="101">
        <f t="shared" si="82"/>
        <v>271</v>
      </c>
      <c r="C752" s="73" t="s">
        <v>773</v>
      </c>
      <c r="D752" s="120" t="s">
        <v>731</v>
      </c>
      <c r="E752" s="123">
        <f t="shared" si="81"/>
        <v>6815055.1868583523</v>
      </c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>
        <v>6540166.4526155833</v>
      </c>
      <c r="R752" s="107">
        <v>90475.4</v>
      </c>
      <c r="S752" s="108">
        <v>41393.14</v>
      </c>
      <c r="T752" s="145">
        <v>143020.19424276875</v>
      </c>
      <c r="U752" s="23">
        <f t="shared" si="84"/>
        <v>1</v>
      </c>
    </row>
    <row r="753" spans="1:21" x14ac:dyDescent="0.25">
      <c r="A753" s="102">
        <f t="shared" ref="A753" si="85">+A752+1</f>
        <v>734</v>
      </c>
      <c r="B753" s="101">
        <f t="shared" ref="B753" si="86">+B752+1</f>
        <v>272</v>
      </c>
      <c r="C753" s="73" t="s">
        <v>73</v>
      </c>
      <c r="D753" s="120" t="s">
        <v>738</v>
      </c>
      <c r="E753" s="123">
        <f t="shared" ref="E753" si="87">SUBTOTAL(9,F753:T753)</f>
        <v>4904397.8896157993</v>
      </c>
      <c r="F753" s="107">
        <v>735304.27475400001</v>
      </c>
      <c r="G753" s="107"/>
      <c r="H753" s="107">
        <v>206096.46766800003</v>
      </c>
      <c r="I753" s="107">
        <v>0</v>
      </c>
      <c r="J753" s="107">
        <v>0</v>
      </c>
      <c r="K753" s="107"/>
      <c r="L753" s="107">
        <v>69083.30797200001</v>
      </c>
      <c r="M753" s="107">
        <v>0</v>
      </c>
      <c r="N753" s="107"/>
      <c r="O753" s="107">
        <v>0</v>
      </c>
      <c r="P753" s="107">
        <v>1764502.807326</v>
      </c>
      <c r="Q753" s="107">
        <v>1553997.7564439997</v>
      </c>
      <c r="R753" s="107">
        <v>440587.55700000003</v>
      </c>
      <c r="S753" s="107">
        <f>46256.106</f>
        <v>46256.106</v>
      </c>
      <c r="T753" s="145">
        <v>88569.6124518</v>
      </c>
      <c r="U753" s="23">
        <f t="shared" ref="U753" si="88">COUNTIF(F753:Q753,"&gt;0")</f>
        <v>5</v>
      </c>
    </row>
    <row r="756" spans="1:21" hidden="1" x14ac:dyDescent="0.25">
      <c r="D756" s="1" t="s">
        <v>243</v>
      </c>
      <c r="E756" s="54"/>
    </row>
    <row r="757" spans="1:21" hidden="1" x14ac:dyDescent="0.25">
      <c r="D757" s="1" t="s">
        <v>240</v>
      </c>
      <c r="E757" s="127"/>
    </row>
    <row r="758" spans="1:21" hidden="1" x14ac:dyDescent="0.25">
      <c r="D758" s="1">
        <v>2022</v>
      </c>
      <c r="E758" s="42">
        <f>SUM(F758:J758,M758:Q758)</f>
        <v>354</v>
      </c>
      <c r="F758" s="23">
        <f>COUNTIF(F18:F205,"&gt;0")</f>
        <v>53</v>
      </c>
      <c r="G758" s="23">
        <f>COUNTIF(G18:G205,"&gt;0")</f>
        <v>31</v>
      </c>
      <c r="H758" s="23">
        <f>COUNTIF(H18:H205,"&gt;0")</f>
        <v>51</v>
      </c>
      <c r="I758" s="23">
        <f>COUNTIF(I18:I205,"&gt;0")</f>
        <v>52</v>
      </c>
      <c r="J758" s="23">
        <f>COUNTIF(J18:J205,"&gt;0")</f>
        <v>18</v>
      </c>
      <c r="K758" s="23">
        <f>COUNTIF(K18:K477,"&gt;0")</f>
        <v>0</v>
      </c>
      <c r="L758" s="23">
        <f>COUNTIF(L18:L477,"&gt;0")</f>
        <v>50</v>
      </c>
      <c r="M758" s="23">
        <f>COUNTIF(M18:M205,"&gt;0")</f>
        <v>6</v>
      </c>
      <c r="N758" s="23">
        <f>COUNTIF(N18:N205,"&gt;0")</f>
        <v>63</v>
      </c>
      <c r="O758" s="23">
        <f>COUNTIF(O18:O205,"&gt;0")</f>
        <v>15</v>
      </c>
      <c r="P758" s="23">
        <f>COUNTIF(P18:P205,"&gt;0")</f>
        <v>30</v>
      </c>
      <c r="Q758" s="23">
        <f>COUNTIF(Q18:Q205,"&gt;0")</f>
        <v>35</v>
      </c>
      <c r="R758" s="3">
        <f>+E758-11-5</f>
        <v>338</v>
      </c>
    </row>
    <row r="759" spans="1:21" hidden="1" x14ac:dyDescent="0.25">
      <c r="D759" s="1">
        <v>2023</v>
      </c>
      <c r="E759" s="42">
        <f t="shared" ref="E759:E760" si="89">SUM(F759:J759,M759:Q759)</f>
        <v>536</v>
      </c>
      <c r="F759" s="23">
        <f>COUNTIF(F207:F480,"&gt;0")</f>
        <v>88</v>
      </c>
      <c r="G759" s="23">
        <f>COUNTIF(G207:G480,"&gt;0")</f>
        <v>62</v>
      </c>
      <c r="H759" s="23">
        <f>COUNTIF(H207:H480,"&gt;0")</f>
        <v>116</v>
      </c>
      <c r="I759" s="23">
        <f>COUNTIF(I207:I480,"&gt;0")</f>
        <v>70</v>
      </c>
      <c r="J759" s="23">
        <f>COUNTIF(J207:J480,"&gt;0")</f>
        <v>40</v>
      </c>
      <c r="K759" s="23">
        <f>COUNTIF(K208:K478,"&gt;0")</f>
        <v>0</v>
      </c>
      <c r="L759" s="23">
        <f t="shared" ref="L759:Q759" si="90">COUNTIF(L207:L480,"&gt;0")</f>
        <v>49</v>
      </c>
      <c r="M759" s="23">
        <f t="shared" si="90"/>
        <v>1</v>
      </c>
      <c r="N759" s="23">
        <f t="shared" si="90"/>
        <v>65</v>
      </c>
      <c r="O759" s="23">
        <f t="shared" si="90"/>
        <v>12</v>
      </c>
      <c r="P759" s="23">
        <f t="shared" si="90"/>
        <v>41</v>
      </c>
      <c r="Q759" s="23">
        <f t="shared" si="90"/>
        <v>41</v>
      </c>
    </row>
    <row r="760" spans="1:21" hidden="1" x14ac:dyDescent="0.25">
      <c r="D760" s="1">
        <v>2024</v>
      </c>
      <c r="E760" s="42">
        <f t="shared" si="89"/>
        <v>596</v>
      </c>
      <c r="F760" s="23">
        <f t="shared" ref="F760:Q760" si="91">COUNTIF(F482:F753,"&gt;0")</f>
        <v>105</v>
      </c>
      <c r="G760" s="23">
        <f t="shared" si="91"/>
        <v>70</v>
      </c>
      <c r="H760" s="23">
        <f t="shared" si="91"/>
        <v>103</v>
      </c>
      <c r="I760" s="23">
        <f t="shared" si="91"/>
        <v>72</v>
      </c>
      <c r="J760" s="23">
        <f t="shared" si="91"/>
        <v>29</v>
      </c>
      <c r="K760" s="23">
        <f t="shared" si="91"/>
        <v>0</v>
      </c>
      <c r="L760" s="23">
        <f t="shared" si="91"/>
        <v>105</v>
      </c>
      <c r="M760" s="23">
        <f t="shared" si="91"/>
        <v>30</v>
      </c>
      <c r="N760" s="23">
        <f t="shared" si="91"/>
        <v>54</v>
      </c>
      <c r="O760" s="23">
        <f t="shared" si="91"/>
        <v>16</v>
      </c>
      <c r="P760" s="23">
        <f t="shared" si="91"/>
        <v>58</v>
      </c>
      <c r="Q760" s="23">
        <f t="shared" si="91"/>
        <v>59</v>
      </c>
    </row>
    <row r="761" spans="1:21" hidden="1" x14ac:dyDescent="0.25">
      <c r="E761" s="3">
        <f>SUM(E758:E760)</f>
        <v>1486</v>
      </c>
      <c r="I761" s="1" t="s">
        <v>154</v>
      </c>
    </row>
    <row r="762" spans="1:21" hidden="1" x14ac:dyDescent="0.25">
      <c r="D762" s="67"/>
      <c r="E762" s="1" t="s">
        <v>151</v>
      </c>
    </row>
    <row r="763" spans="1:21" hidden="1" x14ac:dyDescent="0.25">
      <c r="D763" s="68"/>
      <c r="E763" s="1" t="s">
        <v>152</v>
      </c>
    </row>
    <row r="764" spans="1:21" hidden="1" x14ac:dyDescent="0.25">
      <c r="D764" s="69"/>
      <c r="E764" s="1" t="s">
        <v>153</v>
      </c>
    </row>
    <row r="807" spans="7:7" x14ac:dyDescent="0.25">
      <c r="G807" s="1" t="s">
        <v>89</v>
      </c>
    </row>
  </sheetData>
  <autoFilter ref="A12:BR752"/>
  <mergeCells count="16">
    <mergeCell ref="D9:D12"/>
    <mergeCell ref="S10:S11"/>
    <mergeCell ref="T10:T11"/>
    <mergeCell ref="A6:T6"/>
    <mergeCell ref="M10:M11"/>
    <mergeCell ref="N10:N11"/>
    <mergeCell ref="O10:O11"/>
    <mergeCell ref="P10:P11"/>
    <mergeCell ref="Q10:Q11"/>
    <mergeCell ref="R10:R11"/>
    <mergeCell ref="E9:E11"/>
    <mergeCell ref="F9:T9"/>
    <mergeCell ref="F10:L10"/>
    <mergeCell ref="A9:A12"/>
    <mergeCell ref="B9:B12"/>
    <mergeCell ref="C9:C12"/>
  </mergeCells>
  <conditionalFormatting sqref="D511">
    <cfRule type="duplicateValues" dxfId="74" priority="95"/>
  </conditionalFormatting>
  <conditionalFormatting sqref="D572">
    <cfRule type="duplicateValues" dxfId="73" priority="94"/>
  </conditionalFormatting>
  <conditionalFormatting sqref="D623">
    <cfRule type="duplicateValues" dxfId="72" priority="93"/>
  </conditionalFormatting>
  <conditionalFormatting sqref="D699:D706">
    <cfRule type="duplicateValues" dxfId="71" priority="8483"/>
  </conditionalFormatting>
  <conditionalFormatting sqref="D708:D714">
    <cfRule type="duplicateValues" dxfId="70" priority="91"/>
  </conditionalFormatting>
  <conditionalFormatting sqref="D715">
    <cfRule type="duplicateValues" dxfId="69" priority="90"/>
  </conditionalFormatting>
  <conditionalFormatting sqref="D753">
    <cfRule type="duplicateValues" dxfId="68" priority="8502"/>
  </conditionalFormatting>
  <conditionalFormatting sqref="D721:D722">
    <cfRule type="duplicateValues" dxfId="67" priority="8525"/>
  </conditionalFormatting>
  <conditionalFormatting sqref="D748:D752 D559:D561 D489 D630 D605 D571 D554 D514 D491:D492 D719:D720 D707 D698 D687:D692">
    <cfRule type="duplicateValues" dxfId="66" priority="8616"/>
  </conditionalFormatting>
  <conditionalFormatting sqref="D54">
    <cfRule type="duplicateValues" dxfId="65" priority="77"/>
  </conditionalFormatting>
  <conditionalFormatting sqref="D736">
    <cfRule type="duplicateValues" dxfId="64" priority="76"/>
  </conditionalFormatting>
  <conditionalFormatting sqref="D737">
    <cfRule type="duplicateValues" dxfId="63" priority="75"/>
  </conditionalFormatting>
  <conditionalFormatting sqref="D734">
    <cfRule type="duplicateValues" dxfId="62" priority="74"/>
  </conditionalFormatting>
  <conditionalFormatting sqref="D213">
    <cfRule type="duplicateValues" dxfId="61" priority="72"/>
  </conditionalFormatting>
  <conditionalFormatting sqref="D226">
    <cfRule type="duplicateValues" dxfId="60" priority="71"/>
  </conditionalFormatting>
  <conditionalFormatting sqref="D266">
    <cfRule type="duplicateValues" dxfId="59" priority="69"/>
  </conditionalFormatting>
  <conditionalFormatting sqref="D270">
    <cfRule type="duplicateValues" dxfId="58" priority="68"/>
  </conditionalFormatting>
  <conditionalFormatting sqref="D66">
    <cfRule type="duplicateValues" dxfId="57" priority="67"/>
  </conditionalFormatting>
  <conditionalFormatting sqref="D106">
    <cfRule type="duplicateValues" dxfId="56" priority="66"/>
  </conditionalFormatting>
  <conditionalFormatting sqref="D331">
    <cfRule type="duplicateValues" dxfId="55" priority="65"/>
  </conditionalFormatting>
  <conditionalFormatting sqref="D136">
    <cfRule type="duplicateValues" dxfId="54" priority="64"/>
  </conditionalFormatting>
  <conditionalFormatting sqref="D138">
    <cfRule type="duplicateValues" dxfId="53" priority="63"/>
  </conditionalFormatting>
  <conditionalFormatting sqref="D384:D385">
    <cfRule type="duplicateValues" dxfId="52" priority="62"/>
  </conditionalFormatting>
  <conditionalFormatting sqref="D393">
    <cfRule type="duplicateValues" dxfId="51" priority="61"/>
  </conditionalFormatting>
  <conditionalFormatting sqref="D439">
    <cfRule type="duplicateValues" dxfId="50" priority="60"/>
  </conditionalFormatting>
  <conditionalFormatting sqref="D444">
    <cfRule type="duplicateValues" dxfId="49" priority="59"/>
  </conditionalFormatting>
  <conditionalFormatting sqref="D450:D451">
    <cfRule type="duplicateValues" dxfId="48" priority="58"/>
  </conditionalFormatting>
  <conditionalFormatting sqref="D470">
    <cfRule type="duplicateValues" dxfId="47" priority="57"/>
  </conditionalFormatting>
  <conditionalFormatting sqref="D471:D473">
    <cfRule type="duplicateValues" dxfId="46" priority="56"/>
  </conditionalFormatting>
  <conditionalFormatting sqref="D474">
    <cfRule type="duplicateValues" dxfId="45" priority="55"/>
  </conditionalFormatting>
  <conditionalFormatting sqref="D475:D476">
    <cfRule type="duplicateValues" dxfId="44" priority="54"/>
  </conditionalFormatting>
  <conditionalFormatting sqref="D207">
    <cfRule type="duplicateValues" dxfId="43" priority="53"/>
  </conditionalFormatting>
  <conditionalFormatting sqref="D229">
    <cfRule type="duplicateValues" dxfId="42" priority="52"/>
  </conditionalFormatting>
  <conditionalFormatting sqref="D231">
    <cfRule type="duplicateValues" dxfId="41" priority="51"/>
  </conditionalFormatting>
  <conditionalFormatting sqref="D234">
    <cfRule type="duplicateValues" dxfId="40" priority="50"/>
  </conditionalFormatting>
  <conditionalFormatting sqref="D275">
    <cfRule type="duplicateValues" dxfId="39" priority="47"/>
  </conditionalFormatting>
  <conditionalFormatting sqref="D277">
    <cfRule type="duplicateValues" dxfId="38" priority="46"/>
  </conditionalFormatting>
  <conditionalFormatting sqref="D292">
    <cfRule type="duplicateValues" dxfId="37" priority="45"/>
  </conditionalFormatting>
  <conditionalFormatting sqref="D307">
    <cfRule type="duplicateValues" dxfId="36" priority="44"/>
  </conditionalFormatting>
  <conditionalFormatting sqref="D311">
    <cfRule type="duplicateValues" dxfId="35" priority="43"/>
  </conditionalFormatting>
  <conditionalFormatting sqref="D329">
    <cfRule type="duplicateValues" dxfId="34" priority="42"/>
  </conditionalFormatting>
  <conditionalFormatting sqref="D335">
    <cfRule type="duplicateValues" dxfId="33" priority="41"/>
  </conditionalFormatting>
  <conditionalFormatting sqref="D347">
    <cfRule type="duplicateValues" dxfId="32" priority="39"/>
  </conditionalFormatting>
  <conditionalFormatting sqref="D386:D387">
    <cfRule type="duplicateValues" dxfId="31" priority="38"/>
  </conditionalFormatting>
  <conditionalFormatting sqref="D434">
    <cfRule type="duplicateValues" dxfId="30" priority="34"/>
  </conditionalFormatting>
  <conditionalFormatting sqref="D478">
    <cfRule type="duplicateValues" dxfId="29" priority="33"/>
  </conditionalFormatting>
  <conditionalFormatting sqref="D274">
    <cfRule type="duplicateValues" dxfId="28" priority="30"/>
  </conditionalFormatting>
  <conditionalFormatting sqref="D294">
    <cfRule type="duplicateValues" dxfId="27" priority="29"/>
  </conditionalFormatting>
  <conditionalFormatting sqref="D300">
    <cfRule type="duplicateValues" dxfId="26" priority="28"/>
  </conditionalFormatting>
  <conditionalFormatting sqref="D310">
    <cfRule type="duplicateValues" dxfId="25" priority="26"/>
  </conditionalFormatting>
  <conditionalFormatting sqref="D323">
    <cfRule type="duplicateValues" dxfId="24" priority="25"/>
  </conditionalFormatting>
  <conditionalFormatting sqref="D342">
    <cfRule type="duplicateValues" dxfId="23" priority="24"/>
  </conditionalFormatting>
  <conditionalFormatting sqref="D479:D480">
    <cfRule type="duplicateValues" dxfId="22" priority="22"/>
  </conditionalFormatting>
  <conditionalFormatting sqref="D364">
    <cfRule type="duplicateValues" dxfId="21" priority="21"/>
  </conditionalFormatting>
  <conditionalFormatting sqref="D175">
    <cfRule type="duplicateValues" dxfId="20" priority="20"/>
  </conditionalFormatting>
  <conditionalFormatting sqref="D49">
    <cfRule type="duplicateValues" dxfId="19" priority="19"/>
  </conditionalFormatting>
  <conditionalFormatting sqref="D271">
    <cfRule type="duplicateValues" dxfId="18" priority="18"/>
  </conditionalFormatting>
  <conditionalFormatting sqref="D388">
    <cfRule type="duplicateValues" dxfId="17" priority="17"/>
  </conditionalFormatting>
  <conditionalFormatting sqref="D638">
    <cfRule type="duplicateValues" dxfId="16" priority="16"/>
  </conditionalFormatting>
  <conditionalFormatting sqref="D495">
    <cfRule type="duplicateValues" dxfId="15" priority="15"/>
  </conditionalFormatting>
  <conditionalFormatting sqref="D254">
    <cfRule type="duplicateValues" dxfId="14" priority="13"/>
  </conditionalFormatting>
  <conditionalFormatting sqref="D232">
    <cfRule type="duplicateValues" dxfId="13" priority="12"/>
  </conditionalFormatting>
  <conditionalFormatting sqref="D260">
    <cfRule type="duplicateValues" dxfId="12" priority="11"/>
  </conditionalFormatting>
  <conditionalFormatting sqref="D242">
    <cfRule type="duplicateValues" dxfId="11" priority="10"/>
  </conditionalFormatting>
  <conditionalFormatting sqref="D273">
    <cfRule type="duplicateValues" dxfId="10" priority="9"/>
  </conditionalFormatting>
  <conditionalFormatting sqref="D276">
    <cfRule type="duplicateValues" dxfId="9" priority="8"/>
  </conditionalFormatting>
  <conditionalFormatting sqref="D305">
    <cfRule type="duplicateValues" dxfId="8" priority="7"/>
  </conditionalFormatting>
  <conditionalFormatting sqref="D349:D350">
    <cfRule type="duplicateValues" dxfId="7" priority="6"/>
  </conditionalFormatting>
  <conditionalFormatting sqref="D348">
    <cfRule type="duplicateValues" dxfId="6" priority="5"/>
  </conditionalFormatting>
  <conditionalFormatting sqref="D477">
    <cfRule type="duplicateValues" dxfId="5" priority="4"/>
  </conditionalFormatting>
  <conditionalFormatting sqref="D371 D170 D132:D135 D56:D57 D18:D25 D28:D48 D235 D59 D61:D65 D77 D80:D94 D96 D110 D117:D121 D145:D153 D180:D191 D193:D202 D123:D126 D53 D245 D98:D105 D155:D162 D176 D67:D68 D164:D167 D50:D51 D137 D128:D129 D70:D74 D107:D108 D113:D114 D139 D172">
    <cfRule type="duplicateValues" dxfId="4" priority="9548"/>
  </conditionalFormatting>
  <conditionalFormatting sqref="D593">
    <cfRule type="duplicateValues" dxfId="3" priority="3"/>
  </conditionalFormatting>
  <conditionalFormatting sqref="D390:D392">
    <cfRule type="duplicateValues" dxfId="2" priority="9634"/>
  </conditionalFormatting>
  <conditionalFormatting sqref="D237">
    <cfRule type="duplicateValues" dxfId="1" priority="2"/>
  </conditionalFormatting>
  <conditionalFormatting sqref="D338">
    <cfRule type="duplicateValues" dxfId="0" priority="1"/>
  </conditionalFormatting>
  <pageMargins left="0.39370078740157483" right="0.39370078740157483" top="0.39370078740157483" bottom="0.39370078740157483" header="0.31496062992125984" footer="0.31496062992125984"/>
  <pageSetup paperSize="9" scale="31" fitToHeight="0" orientation="landscape" r:id="rId1"/>
  <rowBreaks count="1" manualBreakCount="1">
    <brk id="20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41"/>
  <sheetViews>
    <sheetView workbookViewId="0">
      <selection activeCell="C32" sqref="C32"/>
    </sheetView>
  </sheetViews>
  <sheetFormatPr defaultRowHeight="15" x14ac:dyDescent="0.25"/>
  <cols>
    <col min="3" max="3" width="110.85546875" customWidth="1"/>
  </cols>
  <sheetData>
    <row r="3" spans="3:3" x14ac:dyDescent="0.25">
      <c r="C3" s="73" t="s">
        <v>48</v>
      </c>
    </row>
    <row r="4" spans="3:3" x14ac:dyDescent="0.25">
      <c r="C4" s="73" t="s">
        <v>49</v>
      </c>
    </row>
    <row r="5" spans="3:3" x14ac:dyDescent="0.25">
      <c r="C5" s="73" t="s">
        <v>70</v>
      </c>
    </row>
    <row r="6" spans="3:3" x14ac:dyDescent="0.25">
      <c r="C6" s="73" t="s">
        <v>50</v>
      </c>
    </row>
    <row r="7" spans="3:3" x14ac:dyDescent="0.25">
      <c r="C7" s="73" t="s">
        <v>81</v>
      </c>
    </row>
    <row r="8" spans="3:3" x14ac:dyDescent="0.25">
      <c r="C8" s="73" t="s">
        <v>82</v>
      </c>
    </row>
    <row r="9" spans="3:3" x14ac:dyDescent="0.25">
      <c r="C9" s="73" t="s">
        <v>51</v>
      </c>
    </row>
    <row r="10" spans="3:3" x14ac:dyDescent="0.25">
      <c r="C10" s="73" t="s">
        <v>44</v>
      </c>
    </row>
    <row r="11" spans="3:3" x14ac:dyDescent="0.25">
      <c r="C11" s="73" t="s">
        <v>63</v>
      </c>
    </row>
    <row r="12" spans="3:3" x14ac:dyDescent="0.25">
      <c r="C12" s="73" t="s">
        <v>54</v>
      </c>
    </row>
    <row r="13" spans="3:3" x14ac:dyDescent="0.25">
      <c r="C13" s="73" t="s">
        <v>64</v>
      </c>
    </row>
    <row r="14" spans="3:3" x14ac:dyDescent="0.25">
      <c r="C14" s="73" t="s">
        <v>55</v>
      </c>
    </row>
    <row r="15" spans="3:3" x14ac:dyDescent="0.25">
      <c r="C15" s="73" t="s">
        <v>65</v>
      </c>
    </row>
    <row r="16" spans="3:3" x14ac:dyDescent="0.25">
      <c r="C16" s="73" t="s">
        <v>45</v>
      </c>
    </row>
    <row r="17" spans="3:3" x14ac:dyDescent="0.25">
      <c r="C17" s="73" t="s">
        <v>46</v>
      </c>
    </row>
    <row r="18" spans="3:3" x14ac:dyDescent="0.25">
      <c r="C18" s="73" t="s">
        <v>57</v>
      </c>
    </row>
    <row r="19" spans="3:3" x14ac:dyDescent="0.25">
      <c r="C19" s="73" t="s">
        <v>72</v>
      </c>
    </row>
    <row r="20" spans="3:3" x14ac:dyDescent="0.25">
      <c r="C20" s="73" t="s">
        <v>66</v>
      </c>
    </row>
    <row r="21" spans="3:3" x14ac:dyDescent="0.25">
      <c r="C21" s="73" t="s">
        <v>67</v>
      </c>
    </row>
    <row r="22" spans="3:3" x14ac:dyDescent="0.25">
      <c r="C22" s="73" t="s">
        <v>68</v>
      </c>
    </row>
    <row r="23" spans="3:3" x14ac:dyDescent="0.25">
      <c r="C23" s="73" t="s">
        <v>78</v>
      </c>
    </row>
    <row r="24" spans="3:3" x14ac:dyDescent="0.25">
      <c r="C24" s="73" t="s">
        <v>61</v>
      </c>
    </row>
    <row r="25" spans="3:3" x14ac:dyDescent="0.25">
      <c r="C25" s="73" t="s">
        <v>62</v>
      </c>
    </row>
    <row r="26" spans="3:3" x14ac:dyDescent="0.25">
      <c r="C26" s="73" t="s">
        <v>158</v>
      </c>
    </row>
    <row r="27" spans="3:3" x14ac:dyDescent="0.25">
      <c r="C27" s="73" t="s">
        <v>114</v>
      </c>
    </row>
    <row r="28" spans="3:3" x14ac:dyDescent="0.25">
      <c r="C28" s="73" t="s">
        <v>58</v>
      </c>
    </row>
    <row r="29" spans="3:3" x14ac:dyDescent="0.25">
      <c r="C29" s="73" t="s">
        <v>59</v>
      </c>
    </row>
    <row r="30" spans="3:3" x14ac:dyDescent="0.25">
      <c r="C30" s="73" t="s">
        <v>60</v>
      </c>
    </row>
    <row r="31" spans="3:3" x14ac:dyDescent="0.25">
      <c r="C31" s="73" t="s">
        <v>71</v>
      </c>
    </row>
    <row r="32" spans="3:3" x14ac:dyDescent="0.25">
      <c r="C32" s="73" t="s">
        <v>69</v>
      </c>
    </row>
    <row r="33" spans="3:3" x14ac:dyDescent="0.25">
      <c r="C33" s="73" t="s">
        <v>136</v>
      </c>
    </row>
    <row r="34" spans="3:3" x14ac:dyDescent="0.25">
      <c r="C34" s="73" t="s">
        <v>128</v>
      </c>
    </row>
    <row r="35" spans="3:3" x14ac:dyDescent="0.25">
      <c r="C35" s="73" t="s">
        <v>52</v>
      </c>
    </row>
    <row r="36" spans="3:3" x14ac:dyDescent="0.25">
      <c r="C36" s="73" t="s">
        <v>53</v>
      </c>
    </row>
    <row r="37" spans="3:3" x14ac:dyDescent="0.25">
      <c r="C37" s="73" t="s">
        <v>56</v>
      </c>
    </row>
    <row r="38" spans="3:3" x14ac:dyDescent="0.25">
      <c r="C38" s="73" t="s">
        <v>132</v>
      </c>
    </row>
    <row r="39" spans="3:3" x14ac:dyDescent="0.25">
      <c r="C39" s="73" t="s">
        <v>133</v>
      </c>
    </row>
    <row r="40" spans="3:3" x14ac:dyDescent="0.25">
      <c r="C40" s="73" t="s">
        <v>134</v>
      </c>
    </row>
    <row r="41" spans="3:3" x14ac:dyDescent="0.25">
      <c r="C41" s="73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№1</vt:lpstr>
      <vt:lpstr>Приложение №2</vt:lpstr>
      <vt:lpstr>Лист1</vt:lpstr>
      <vt:lpstr>'Приложение №1'!Заголовки_для_печати</vt:lpstr>
      <vt:lpstr>'Приложение №2'!Заголовки_для_печати</vt:lpstr>
      <vt:lpstr>'Приложение №1'!Область_печати</vt:lpstr>
      <vt:lpstr>'Приложение №2'!Область_печати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424_4</dc:creator>
  <cp:lastModifiedBy>Евстафьева Каролина Валериевна</cp:lastModifiedBy>
  <cp:lastPrinted>2023-07-11T07:48:46Z</cp:lastPrinted>
  <dcterms:created xsi:type="dcterms:W3CDTF">2019-11-06T08:51:16Z</dcterms:created>
  <dcterms:modified xsi:type="dcterms:W3CDTF">2023-07-11T07:58:48Z</dcterms:modified>
</cp:coreProperties>
</file>